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9465" windowHeight="4575" firstSheet="4" activeTab="4"/>
  </bookViews>
  <sheets>
    <sheet name="Chart1" sheetId="1" r:id="rId1"/>
    <sheet name="Chart2" sheetId="2" r:id="rId2"/>
    <sheet name="Chart3" sheetId="3" r:id="rId3"/>
    <sheet name="Chart4" sheetId="4" r:id="rId4"/>
    <sheet name="20.5" sheetId="5" r:id="rId5"/>
  </sheets>
  <definedNames>
    <definedName name="_xlnm.Print_Area" localSheetId="4">'20.5'!$B$1:$P$84</definedName>
  </definedNames>
  <calcPr fullCalcOnLoad="1" iterate="1" iterateCount="100" iterateDelta="0.01"/>
</workbook>
</file>

<file path=xl/sharedStrings.xml><?xml version="1.0" encoding="utf-8"?>
<sst xmlns="http://schemas.openxmlformats.org/spreadsheetml/2006/main" count="72" uniqueCount="70">
  <si>
    <t>RJR NABISCO. 3. Estrategia del grupo de dirección</t>
  </si>
  <si>
    <t>($ millones)</t>
  </si>
  <si>
    <t>NOF</t>
  </si>
  <si>
    <t>Activos fijos</t>
  </si>
  <si>
    <t>Total activo neto</t>
  </si>
  <si>
    <t>Deuda asumida</t>
  </si>
  <si>
    <t>Nueva deuda</t>
  </si>
  <si>
    <t>Preferentes</t>
  </si>
  <si>
    <t>Preferentes convert.</t>
  </si>
  <si>
    <t>Recursos propios</t>
  </si>
  <si>
    <t>Total pasivo neto</t>
  </si>
  <si>
    <t>Venta de activos</t>
  </si>
  <si>
    <t>Valor contable</t>
  </si>
  <si>
    <t>Impuestos</t>
  </si>
  <si>
    <t>Venta - impuestos</t>
  </si>
  <si>
    <t>Bfo extraordinario</t>
  </si>
  <si>
    <t>El beneficio neto no incluye venta de activos</t>
  </si>
  <si>
    <t>VENTAS</t>
  </si>
  <si>
    <t>Beneficio operativo</t>
  </si>
  <si>
    <t>Intereses</t>
  </si>
  <si>
    <t>Impuestos (34%)</t>
  </si>
  <si>
    <t>Amort. fondo comercio</t>
  </si>
  <si>
    <t>Beneficio neto</t>
  </si>
  <si>
    <t xml:space="preserve"> - dividendos preferentes</t>
  </si>
  <si>
    <t xml:space="preserve"> + beneficio extraordinario</t>
  </si>
  <si>
    <t>Beneficio para ordinarias</t>
  </si>
  <si>
    <t>Amortización e</t>
  </si>
  <si>
    <t>impuestos diferidos</t>
  </si>
  <si>
    <t xml:space="preserve"> -Inversiones</t>
  </si>
  <si>
    <t xml:space="preserve"> -Aumento NOF</t>
  </si>
  <si>
    <t xml:space="preserve"> +Valor cont. activos vendidos</t>
  </si>
  <si>
    <t xml:space="preserve"> + Aumento de deuda</t>
  </si>
  <si>
    <t xml:space="preserve"> + dividendos preferentes</t>
  </si>
  <si>
    <t xml:space="preserve"> -Amortización preferentes</t>
  </si>
  <si>
    <t xml:space="preserve"> -Amortización preferentes convertibles</t>
  </si>
  <si>
    <t>Flujo acciones</t>
  </si>
  <si>
    <t xml:space="preserve"> +(1-0,34)Intereses pagados</t>
  </si>
  <si>
    <t xml:space="preserve"> +devolución de deuda</t>
  </si>
  <si>
    <t xml:space="preserve"> +Amortización preferentes</t>
  </si>
  <si>
    <t xml:space="preserve"> +Amortización preferentes convertibles</t>
  </si>
  <si>
    <t>FCF</t>
  </si>
  <si>
    <t>($ million)</t>
  </si>
  <si>
    <t>ECF+CFpref+CFconv = ECF+</t>
  </si>
  <si>
    <t>Rf</t>
  </si>
  <si>
    <t>Pm</t>
  </si>
  <si>
    <t>Beta u</t>
  </si>
  <si>
    <t>Beta d</t>
  </si>
  <si>
    <t>beta L</t>
  </si>
  <si>
    <t>Ke</t>
  </si>
  <si>
    <t>Producto (1+Ke)</t>
  </si>
  <si>
    <t>CFac / Producto (1+Ke)</t>
  </si>
  <si>
    <t>E+ =PV(ECF+ ;Ke)</t>
  </si>
  <si>
    <t>D</t>
  </si>
  <si>
    <t>D + E+</t>
  </si>
  <si>
    <t>Kd</t>
  </si>
  <si>
    <t>WACC</t>
  </si>
  <si>
    <t>Producto (1+WACC)</t>
  </si>
  <si>
    <t>FCF / Producto (1+wacc)</t>
  </si>
  <si>
    <t>D + E+=PV(FCF;WACC)</t>
  </si>
  <si>
    <t>Ku</t>
  </si>
  <si>
    <t>Vu=PV(FCF;Ku)</t>
  </si>
  <si>
    <t>DTKu</t>
  </si>
  <si>
    <t>DVTS=PV(DTKu;Ku)</t>
  </si>
  <si>
    <t>D+E+Pr+PrCo = DVTS + Vu</t>
  </si>
  <si>
    <t>CCF</t>
  </si>
  <si>
    <r>
      <t>WACC</t>
    </r>
    <r>
      <rPr>
        <vertAlign val="subscript"/>
        <sz val="9"/>
        <rFont val="Tms Rmn"/>
        <family val="0"/>
      </rPr>
      <t>BT</t>
    </r>
  </si>
  <si>
    <r>
      <t>Producto (1+WACC</t>
    </r>
    <r>
      <rPr>
        <vertAlign val="subscript"/>
        <sz val="9"/>
        <rFont val="Tms Rmn"/>
        <family val="0"/>
      </rPr>
      <t>BT</t>
    </r>
    <r>
      <rPr>
        <sz val="9"/>
        <rFont val="Tms Rmn"/>
        <family val="0"/>
      </rPr>
      <t>)</t>
    </r>
  </si>
  <si>
    <t>CCF / Producto (1+wacc)</t>
  </si>
  <si>
    <r>
      <t>D + E+ = PV(CCF;WACC</t>
    </r>
    <r>
      <rPr>
        <vertAlign val="subscript"/>
        <sz val="9"/>
        <rFont val="Tms Rmn"/>
        <family val="0"/>
      </rPr>
      <t>BT</t>
    </r>
    <r>
      <rPr>
        <sz val="9"/>
        <rFont val="Tms Rmn"/>
        <family val="0"/>
      </rPr>
      <t>)</t>
    </r>
  </si>
  <si>
    <t>E+Pr+PrCo = E+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</si>
</sst>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"/>
    <numFmt numFmtId="181" formatCode="0.000"/>
    <numFmt numFmtId="182" formatCode="0.0%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9"/>
      <name val="Tms Rmn"/>
      <family val="0"/>
    </font>
    <font>
      <sz val="9"/>
      <name val="Tms Rmn"/>
      <family val="0"/>
    </font>
    <font>
      <b/>
      <sz val="12"/>
      <name val="Tms Rmn"/>
      <family val="0"/>
    </font>
    <font>
      <u val="single"/>
      <sz val="9"/>
      <name val="Tms Rmn"/>
      <family val="0"/>
    </font>
    <font>
      <sz val="10"/>
      <name val="Tms Rmn"/>
      <family val="0"/>
    </font>
    <font>
      <vertAlign val="subscript"/>
      <sz val="9"/>
      <name val="Tms Rmn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Border="1" applyAlignment="1">
      <alignment/>
    </xf>
    <xf numFmtId="182" fontId="5" fillId="0" borderId="0" xfId="0" applyNumberFormat="1" applyFont="1" applyBorder="1" applyAlignment="1">
      <alignment/>
    </xf>
    <xf numFmtId="0" fontId="5" fillId="0" borderId="3" xfId="0" applyFont="1" applyBorder="1" applyAlignment="1">
      <alignment/>
    </xf>
    <xf numFmtId="3" fontId="5" fillId="0" borderId="4" xfId="0" applyNumberFormat="1" applyFont="1" applyBorder="1" applyAlignment="1">
      <alignment/>
    </xf>
    <xf numFmtId="182" fontId="5" fillId="0" borderId="0" xfId="19" applyNumberFormat="1" applyFont="1" applyBorder="1" applyAlignment="1">
      <alignment/>
    </xf>
    <xf numFmtId="3" fontId="5" fillId="0" borderId="0" xfId="19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3" fontId="5" fillId="0" borderId="7" xfId="0" applyNumberFormat="1" applyFont="1" applyBorder="1" applyAlignment="1">
      <alignment/>
    </xf>
    <xf numFmtId="0" fontId="5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182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22"/>
          <c:w val="0.952"/>
          <c:h val="0.9557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'20.5'!$B$8</c:f>
              <c:strCache>
                <c:ptCount val="1"/>
                <c:pt idx="0">
                  <c:v>Deuda asumida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'20.5'!$C$3:$P$3</c:f>
              <c:numCache>
                <c:ptCount val="1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</c:numCache>
            </c:numRef>
          </c:cat>
          <c:val>
            <c:numRef>
              <c:f>'20.5'!$C$8:$P$8</c:f>
              <c:numCache>
                <c:ptCount val="14"/>
                <c:pt idx="0">
                  <c:v>5204</c:v>
                </c:pt>
                <c:pt idx="1">
                  <c:v>4894</c:v>
                </c:pt>
                <c:pt idx="2">
                  <c:v>4519</c:v>
                </c:pt>
                <c:pt idx="3">
                  <c:v>3798</c:v>
                </c:pt>
                <c:pt idx="4">
                  <c:v>2982</c:v>
                </c:pt>
                <c:pt idx="5">
                  <c:v>2582</c:v>
                </c:pt>
                <c:pt idx="6">
                  <c:v>1857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5"/>
          <c:order val="1"/>
          <c:tx>
            <c:strRef>
              <c:f>'20.5'!$B$9</c:f>
              <c:strCache>
                <c:ptCount val="1"/>
                <c:pt idx="0">
                  <c:v>Nueva deuda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'20.5'!$C$3:$P$3</c:f>
              <c:numCache>
                <c:ptCount val="1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</c:numCache>
            </c:numRef>
          </c:cat>
          <c:val>
            <c:numRef>
              <c:f>'20.5'!$C$9:$P$9</c:f>
              <c:numCache>
                <c:ptCount val="14"/>
                <c:pt idx="0">
                  <c:v>18000</c:v>
                </c:pt>
                <c:pt idx="1">
                  <c:v>6292</c:v>
                </c:pt>
                <c:pt idx="2">
                  <c:v>6075</c:v>
                </c:pt>
                <c:pt idx="3">
                  <c:v>5878</c:v>
                </c:pt>
                <c:pt idx="4">
                  <c:v>5413</c:v>
                </c:pt>
                <c:pt idx="5">
                  <c:v>4221</c:v>
                </c:pt>
                <c:pt idx="6">
                  <c:v>3000</c:v>
                </c:pt>
                <c:pt idx="7">
                  <c:v>2515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6"/>
          <c:order val="2"/>
          <c:tx>
            <c:strRef>
              <c:f>'20.5'!$B$10</c:f>
              <c:strCache>
                <c:ptCount val="1"/>
                <c:pt idx="0">
                  <c:v>Preferentes</c:v>
                </c:pt>
              </c:strCache>
            </c:strRef>
          </c:tx>
          <c:spPr>
            <a:pattFill prst="smGrid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'20.5'!$C$3:$P$3</c:f>
              <c:numCache>
                <c:ptCount val="1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</c:numCache>
            </c:numRef>
          </c:cat>
          <c:val>
            <c:numRef>
              <c:f>'20.5'!$C$10:$P$10</c:f>
              <c:numCache>
                <c:ptCount val="14"/>
                <c:pt idx="0">
                  <c:v>1374</c:v>
                </c:pt>
                <c:pt idx="1">
                  <c:v>1632.312</c:v>
                </c:pt>
                <c:pt idx="2">
                  <c:v>1939.1866559999999</c:v>
                </c:pt>
                <c:pt idx="3">
                  <c:v>2303.753747328</c:v>
                </c:pt>
                <c:pt idx="4">
                  <c:v>2736.8594518256637</c:v>
                </c:pt>
                <c:pt idx="5">
                  <c:v>3251.3890287688882</c:v>
                </c:pt>
                <c:pt idx="6">
                  <c:v>3862.650166177439</c:v>
                </c:pt>
                <c:pt idx="7">
                  <c:v>4588.828397418797</c:v>
                </c:pt>
                <c:pt idx="8">
                  <c:v>5170</c:v>
                </c:pt>
                <c:pt idx="9">
                  <c:v>2811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7"/>
          <c:order val="3"/>
          <c:tx>
            <c:strRef>
              <c:f>'20.5'!$B$11</c:f>
              <c:strCache>
                <c:ptCount val="1"/>
                <c:pt idx="0">
                  <c:v>Preferentes convert.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0000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'20.5'!$C$3:$P$3</c:f>
              <c:numCache>
                <c:ptCount val="1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</c:numCache>
            </c:numRef>
          </c:cat>
          <c:val>
            <c:numRef>
              <c:f>'20.5'!$C$11:$P$11</c:f>
              <c:numCache>
                <c:ptCount val="14"/>
                <c:pt idx="0">
                  <c:v>871</c:v>
                </c:pt>
                <c:pt idx="1">
                  <c:v>1034.748</c:v>
                </c:pt>
                <c:pt idx="2">
                  <c:v>1229.280624</c:v>
                </c:pt>
                <c:pt idx="3">
                  <c:v>1460.385381312</c:v>
                </c:pt>
                <c:pt idx="4">
                  <c:v>1734.937832998656</c:v>
                </c:pt>
                <c:pt idx="5">
                  <c:v>2061.106145602403</c:v>
                </c:pt>
                <c:pt idx="6">
                  <c:v>2448.594100975655</c:v>
                </c:pt>
                <c:pt idx="7">
                  <c:v>2908.9297919590776</c:v>
                </c:pt>
                <c:pt idx="8">
                  <c:v>3455.8085928473843</c:v>
                </c:pt>
                <c:pt idx="9">
                  <c:v>4105.500608302692</c:v>
                </c:pt>
                <c:pt idx="10">
                  <c:v>4552</c:v>
                </c:pt>
                <c:pt idx="11">
                  <c:v>1548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8"/>
          <c:order val="4"/>
          <c:tx>
            <c:strRef>
              <c:f>'20.5'!$B$12</c:f>
              <c:strCache>
                <c:ptCount val="1"/>
                <c:pt idx="0">
                  <c:v>Recursos propios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'20.5'!$C$3:$P$3</c:f>
              <c:numCache>
                <c:ptCount val="1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</c:numCache>
            </c:numRef>
          </c:cat>
          <c:val>
            <c:numRef>
              <c:f>'20.5'!$C$12:$P$12</c:f>
              <c:numCache>
                <c:ptCount val="14"/>
                <c:pt idx="0">
                  <c:v>2500</c:v>
                </c:pt>
                <c:pt idx="1">
                  <c:v>1111.9399999999996</c:v>
                </c:pt>
                <c:pt idx="2">
                  <c:v>903.5327199999997</c:v>
                </c:pt>
                <c:pt idx="3">
                  <c:v>927.8608713599997</c:v>
                </c:pt>
                <c:pt idx="4">
                  <c:v>1207.2027151756802</c:v>
                </c:pt>
                <c:pt idx="5">
                  <c:v>4399.364277454372</c:v>
                </c:pt>
                <c:pt idx="6">
                  <c:v>5055.61518467257</c:v>
                </c:pt>
                <c:pt idx="7">
                  <c:v>5932.101262447788</c:v>
                </c:pt>
                <c:pt idx="8">
                  <c:v>7050.0508589782785</c:v>
                </c:pt>
                <c:pt idx="9">
                  <c:v>8500.35884352297</c:v>
                </c:pt>
                <c:pt idx="10">
                  <c:v>10617.859451825661</c:v>
                </c:pt>
                <c:pt idx="11">
                  <c:v>13419.859451825661</c:v>
                </c:pt>
                <c:pt idx="12">
                  <c:v>14815.85945182566</c:v>
                </c:pt>
                <c:pt idx="13">
                  <c:v>14716.859451825661</c:v>
                </c:pt>
              </c:numCache>
            </c:numRef>
          </c:val>
        </c:ser>
        <c:overlap val="100"/>
        <c:axId val="36876420"/>
        <c:axId val="63452325"/>
      </c:barChart>
      <c:catAx>
        <c:axId val="368764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452325"/>
        <c:crossesAt val="0"/>
        <c:auto val="0"/>
        <c:lblOffset val="100"/>
        <c:noMultiLvlLbl val="0"/>
      </c:catAx>
      <c:valAx>
        <c:axId val="63452325"/>
        <c:scaling>
          <c:orientation val="minMax"/>
          <c:max val="2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Millones de dólares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6876420"/>
        <c:crossesAt val="1"/>
        <c:crossBetween val="between"/>
        <c:dispUnits/>
        <c:majorUnit val="50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4"/>
          <c:y val="0.17125"/>
          <c:w val="0.2775"/>
          <c:h val="0.13525"/>
        </c:manualLayout>
      </c:layout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22"/>
          <c:w val="0.9555"/>
          <c:h val="0.955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'20.5'!#REF!</c:f>
              <c:strCache>
                <c:ptCount val="1"/>
                <c:pt idx="0">
                  <c:v>Valor contable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'20.5'!#REF!</c:f>
              <c:strCache>
                <c:ptCount val="1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</c:strCache>
            </c:strRef>
          </c:cat>
          <c:val>
            <c:numRef>
              <c:f>'20.5'!#REF!</c:f>
              <c:numCache>
                <c:ptCount val="12"/>
                <c:pt idx="0">
                  <c:v>2500</c:v>
                </c:pt>
                <c:pt idx="1">
                  <c:v>1111.9399999999996</c:v>
                </c:pt>
                <c:pt idx="2">
                  <c:v>903.5327199999997</c:v>
                </c:pt>
                <c:pt idx="3">
                  <c:v>927.8608713599997</c:v>
                </c:pt>
                <c:pt idx="4">
                  <c:v>1207.2027151756802</c:v>
                </c:pt>
                <c:pt idx="5">
                  <c:v>4399.364277454372</c:v>
                </c:pt>
                <c:pt idx="6">
                  <c:v>5055.61518467257</c:v>
                </c:pt>
                <c:pt idx="7">
                  <c:v>5932.101262447788</c:v>
                </c:pt>
                <c:pt idx="8">
                  <c:v>7050.0508589782785</c:v>
                </c:pt>
                <c:pt idx="9">
                  <c:v>8500.35884352297</c:v>
                </c:pt>
                <c:pt idx="10">
                  <c:v>10617.859451825661</c:v>
                </c:pt>
                <c:pt idx="11">
                  <c:v>13419.859451825661</c:v>
                </c:pt>
              </c:numCache>
            </c:numRef>
          </c:val>
        </c:ser>
        <c:ser>
          <c:idx val="5"/>
          <c:order val="1"/>
          <c:tx>
            <c:strRef>
              <c:f>'20.5'!#REF!</c:f>
              <c:strCache>
                <c:ptCount val="1"/>
                <c:pt idx="0">
                  <c:v>Valor de las acciones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'20.5'!#REF!</c:f>
              <c:strCache>
                <c:ptCount val="1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</c:strCache>
            </c:strRef>
          </c:cat>
          <c:val>
            <c:numRef>
              <c:f>'20.5'!#REF!</c:f>
              <c:numCache>
                <c:ptCount val="12"/>
                <c:pt idx="0">
                  <c:v>4485.4289131288515</c:v>
                </c:pt>
                <c:pt idx="1">
                  <c:v>6426.7223694988625</c:v>
                </c:pt>
                <c:pt idx="2">
                  <c:v>8049.516451186944</c:v>
                </c:pt>
                <c:pt idx="3">
                  <c:v>9897.093767485941</c:v>
                </c:pt>
                <c:pt idx="4">
                  <c:v>11988.268431878862</c:v>
                </c:pt>
                <c:pt idx="5">
                  <c:v>14340.52927442679</c:v>
                </c:pt>
                <c:pt idx="6">
                  <c:v>16979.19957655481</c:v>
                </c:pt>
                <c:pt idx="7">
                  <c:v>19929.60770306013</c:v>
                </c:pt>
                <c:pt idx="8">
                  <c:v>23219.091029050902</c:v>
                </c:pt>
                <c:pt idx="9">
                  <c:v>26890.428840872213</c:v>
                </c:pt>
                <c:pt idx="10">
                  <c:v>30961.579703052194</c:v>
                </c:pt>
                <c:pt idx="11">
                  <c:v>35453.73409735858</c:v>
                </c:pt>
              </c:numCache>
            </c:numRef>
          </c:val>
        </c:ser>
        <c:overlap val="30"/>
        <c:axId val="34200014"/>
        <c:axId val="39364671"/>
      </c:barChart>
      <c:catAx>
        <c:axId val="342000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364671"/>
        <c:crossesAt val="0"/>
        <c:auto val="0"/>
        <c:lblOffset val="100"/>
        <c:noMultiLvlLbl val="0"/>
      </c:catAx>
      <c:valAx>
        <c:axId val="39364671"/>
        <c:scaling>
          <c:orientation val="minMax"/>
          <c:max val="3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Millones de dólares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4200014"/>
        <c:crossesAt val="1"/>
        <c:crossBetween val="between"/>
        <c:dispUnits/>
        <c:majorUnit val="50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6"/>
          <c:y val="0.11"/>
          <c:w val="0.2775"/>
          <c:h val="0.0655"/>
        </c:manualLayout>
      </c:layout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22"/>
          <c:w val="0.9555"/>
          <c:h val="0.955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'20.5'!#REF!</c:f>
              <c:strCache>
                <c:ptCount val="1"/>
                <c:pt idx="0">
                  <c:v>E-Valor contable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'20.5'!#REF!</c:f>
              <c:strCache>
                <c:ptCount val="1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</c:strCache>
            </c:strRef>
          </c:cat>
          <c:val>
            <c:numRef>
              <c:f>'20.5'!#REF!</c:f>
              <c:numCache>
                <c:ptCount val="14"/>
                <c:pt idx="0">
                  <c:v>1985.4289131288515</c:v>
                </c:pt>
                <c:pt idx="1">
                  <c:v>5314.782369498863</c:v>
                </c:pt>
                <c:pt idx="2">
                  <c:v>7145.983731186945</c:v>
                </c:pt>
                <c:pt idx="3">
                  <c:v>8969.23289612594</c:v>
                </c:pt>
                <c:pt idx="4">
                  <c:v>10781.065716703182</c:v>
                </c:pt>
                <c:pt idx="5">
                  <c:v>9941.164996972417</c:v>
                </c:pt>
                <c:pt idx="6">
                  <c:v>11923.58439188224</c:v>
                </c:pt>
                <c:pt idx="7">
                  <c:v>13997.506440612342</c:v>
                </c:pt>
                <c:pt idx="8">
                  <c:v>16169.040170072623</c:v>
                </c:pt>
                <c:pt idx="9">
                  <c:v>18390.069997349245</c:v>
                </c:pt>
                <c:pt idx="10">
                  <c:v>20343.720251226532</c:v>
                </c:pt>
                <c:pt idx="11">
                  <c:v>22033.87464553292</c:v>
                </c:pt>
                <c:pt idx="12">
                  <c:v>23272.505957106274</c:v>
                </c:pt>
                <c:pt idx="13">
                  <c:v>24133.273265284904</c:v>
                </c:pt>
              </c:numCache>
            </c:numRef>
          </c:val>
        </c:ser>
        <c:ser>
          <c:idx val="5"/>
          <c:order val="1"/>
          <c:tx>
            <c:strRef>
              <c:f>'20.5'!#REF!</c:f>
              <c:strCache>
                <c:ptCount val="1"/>
                <c:pt idx="0">
                  <c:v>EVA-grupo de dirección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'20.5'!#REF!</c:f>
              <c:strCache>
                <c:ptCount val="1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</c:strCache>
            </c:strRef>
          </c:cat>
          <c:val>
            <c:numRef>
              <c:f>'20.5'!#REF!</c:f>
              <c:numCache>
                <c:ptCount val="14"/>
                <c:pt idx="1">
                  <c:v>-1071.3300122489652</c:v>
                </c:pt>
                <c:pt idx="2">
                  <c:v>-784.2892650423796</c:v>
                </c:pt>
                <c:pt idx="3">
                  <c:v>-514.8981331582074</c:v>
                </c:pt>
                <c:pt idx="4">
                  <c:v>-233.6311757324106</c:v>
                </c:pt>
                <c:pt idx="5">
                  <c:v>-457.6257839984605</c:v>
                </c:pt>
                <c:pt idx="6">
                  <c:v>-241.3632718242302</c:v>
                </c:pt>
                <c:pt idx="7">
                  <c:v>-5.652423854090557</c:v>
                </c:pt>
                <c:pt idx="8">
                  <c:v>253.22263809303558</c:v>
                </c:pt>
                <c:pt idx="9">
                  <c:v>561.7156857284122</c:v>
                </c:pt>
                <c:pt idx="10">
                  <c:v>968.8760721423027</c:v>
                </c:pt>
                <c:pt idx="11">
                  <c:v>1275.8669209054356</c:v>
                </c:pt>
                <c:pt idx="12">
                  <c:v>1669.8386249083592</c:v>
                </c:pt>
                <c:pt idx="13">
                  <c:v>2038.1010079449206</c:v>
                </c:pt>
              </c:numCache>
            </c:numRef>
          </c:val>
        </c:ser>
        <c:overlap val="30"/>
        <c:axId val="18737720"/>
        <c:axId val="34421753"/>
      </c:barChart>
      <c:catAx>
        <c:axId val="187377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421753"/>
        <c:crossesAt val="0"/>
        <c:auto val="0"/>
        <c:lblOffset val="100"/>
        <c:noMultiLvlLbl val="0"/>
      </c:catAx>
      <c:valAx>
        <c:axId val="34421753"/>
        <c:scaling>
          <c:orientation val="minMax"/>
          <c:max val="16000"/>
          <c:min val="-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Millones de dólares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737720"/>
        <c:crossesAt val="1"/>
        <c:crossBetween val="between"/>
        <c:dispUnits/>
        <c:majorUnit val="50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525"/>
          <c:y val="0.06125"/>
          <c:w val="0.25225"/>
          <c:h val="0.057"/>
        </c:manualLayout>
      </c:layout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22"/>
          <c:w val="0.9555"/>
          <c:h val="0.955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'20.5'!#REF!</c:f>
              <c:strCache>
                <c:ptCount val="1"/>
                <c:pt idx="0">
                  <c:v>EVA-grupo de dirección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'20.5'!#REF!</c:f>
              <c:strCache>
                <c:ptCount val="13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</c:strCache>
            </c:strRef>
          </c:cat>
          <c:val>
            <c:numRef>
              <c:f>'20.5'!#REF!</c:f>
              <c:numCache>
                <c:ptCount val="13"/>
                <c:pt idx="0">
                  <c:v>-1071.3300122489652</c:v>
                </c:pt>
                <c:pt idx="1">
                  <c:v>-784.2892650423796</c:v>
                </c:pt>
                <c:pt idx="2">
                  <c:v>-514.8981331582074</c:v>
                </c:pt>
                <c:pt idx="3">
                  <c:v>-233.6311757324106</c:v>
                </c:pt>
                <c:pt idx="4">
                  <c:v>-457.6257839984605</c:v>
                </c:pt>
                <c:pt idx="5">
                  <c:v>-241.3632718242302</c:v>
                </c:pt>
                <c:pt idx="6">
                  <c:v>-5.652423854090557</c:v>
                </c:pt>
                <c:pt idx="7">
                  <c:v>253.22263809303558</c:v>
                </c:pt>
                <c:pt idx="8">
                  <c:v>561.7156857284122</c:v>
                </c:pt>
                <c:pt idx="9">
                  <c:v>968.8760721423027</c:v>
                </c:pt>
                <c:pt idx="10">
                  <c:v>1275.8669209054356</c:v>
                </c:pt>
                <c:pt idx="11">
                  <c:v>1669.8386249083592</c:v>
                </c:pt>
                <c:pt idx="12">
                  <c:v>2038.1010079449206</c:v>
                </c:pt>
              </c:numCache>
            </c:numRef>
          </c:val>
        </c:ser>
        <c:ser>
          <c:idx val="5"/>
          <c:order val="1"/>
          <c:tx>
            <c:strRef>
              <c:f>'20.5'!#REF!</c:f>
              <c:strCache>
                <c:ptCount val="1"/>
                <c:pt idx="0">
                  <c:v>EVA KKR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'20.5'!#REF!</c:f>
              <c:strCache>
                <c:ptCount val="13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</c:strCache>
            </c:strRef>
          </c:cat>
          <c:val>
            <c:numRef>
              <c:f>'20.5'!#REF!</c:f>
              <c:numCache>
                <c:ptCount val="13"/>
                <c:pt idx="0">
                  <c:v>-1678.7886850482328</c:v>
                </c:pt>
                <c:pt idx="1">
                  <c:v>-1061.9383056209185</c:v>
                </c:pt>
                <c:pt idx="2">
                  <c:v>-601.1482811223</c:v>
                </c:pt>
                <c:pt idx="3">
                  <c:v>-393.29433121382954</c:v>
                </c:pt>
                <c:pt idx="4">
                  <c:v>-261.95872267799905</c:v>
                </c:pt>
                <c:pt idx="5">
                  <c:v>-22.54345618187699</c:v>
                </c:pt>
                <c:pt idx="6">
                  <c:v>238.09828280002876</c:v>
                </c:pt>
                <c:pt idx="7">
                  <c:v>513.2970348588797</c:v>
                </c:pt>
                <c:pt idx="8">
                  <c:v>846.7429588031027</c:v>
                </c:pt>
                <c:pt idx="9">
                  <c:v>1271.4773016719241</c:v>
                </c:pt>
                <c:pt idx="10">
                  <c:v>1739.1638298535108</c:v>
                </c:pt>
                <c:pt idx="11">
                  <c:v>2247.307898131246</c:v>
                </c:pt>
                <c:pt idx="12">
                  <c:v>2689.8466028432395</c:v>
                </c:pt>
              </c:numCache>
            </c:numRef>
          </c:val>
        </c:ser>
        <c:axId val="41360322"/>
        <c:axId val="36698579"/>
      </c:barChart>
      <c:catAx>
        <c:axId val="413603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6698579"/>
        <c:crossesAt val="0"/>
        <c:auto val="0"/>
        <c:lblOffset val="100"/>
        <c:noMultiLvlLbl val="0"/>
      </c:catAx>
      <c:valAx>
        <c:axId val="36698579"/>
        <c:scaling>
          <c:orientation val="minMax"/>
          <c:max val="3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Millones de dólares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360322"/>
        <c:crossesAt val="1"/>
        <c:crossBetween val="between"/>
        <c:dispUnits/>
        <c:majorUnit val="5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1"/>
          <c:y val="0.1375"/>
          <c:w val="0.2775"/>
          <c:h val="0.06125"/>
        </c:manualLayout>
      </c:layout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87401575" right="0.787401575" top="0.984251969" bottom="0.984251969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87401575" right="0.787401575" top="0.984251969" bottom="0.984251969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87401575" right="0.787401575" top="0.984251969" bottom="0.984251969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87401575" right="0.787401575" top="0.984251969" bottom="0.984251969" header="0.5" footer="0.5"/>
  <pageSetup horizontalDpi="300" verticalDpi="300" orientation="landscape" paperSize="9"/>
  <headerFooter>
    <oddHeader>&amp;F</oddHeader>
    <oddFooter>Página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4600575"/>
    <xdr:graphicFrame>
      <xdr:nvGraphicFramePr>
        <xdr:cNvPr id="1" name="Chart 1"/>
        <xdr:cNvGraphicFramePr/>
      </xdr:nvGraphicFramePr>
      <xdr:xfrm>
        <a:off x="0" y="0"/>
        <a:ext cx="95726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4600575"/>
    <xdr:graphicFrame>
      <xdr:nvGraphicFramePr>
        <xdr:cNvPr id="1" name="Shape 1025"/>
        <xdr:cNvGraphicFramePr/>
      </xdr:nvGraphicFramePr>
      <xdr:xfrm>
        <a:off x="0" y="0"/>
        <a:ext cx="95726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4600575"/>
    <xdr:graphicFrame>
      <xdr:nvGraphicFramePr>
        <xdr:cNvPr id="1" name="Shape 1025"/>
        <xdr:cNvGraphicFramePr/>
      </xdr:nvGraphicFramePr>
      <xdr:xfrm>
        <a:off x="0" y="0"/>
        <a:ext cx="95726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4600575"/>
    <xdr:graphicFrame>
      <xdr:nvGraphicFramePr>
        <xdr:cNvPr id="1" name="Shape 1025"/>
        <xdr:cNvGraphicFramePr/>
      </xdr:nvGraphicFramePr>
      <xdr:xfrm>
        <a:off x="0" y="0"/>
        <a:ext cx="95726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workbookViewId="0" topLeftCell="A44">
      <selection activeCell="E87" sqref="E87"/>
    </sheetView>
  </sheetViews>
  <sheetFormatPr defaultColWidth="9.00390625" defaultRowHeight="12.75"/>
  <cols>
    <col min="1" max="1" width="2.75390625" style="12" customWidth="1"/>
    <col min="2" max="2" width="20.125" style="10" customWidth="1"/>
    <col min="3" max="3" width="5.375" style="10" customWidth="1"/>
    <col min="4" max="4" width="5.625" style="10" customWidth="1"/>
    <col min="5" max="5" width="5.125" style="10" customWidth="1"/>
    <col min="6" max="6" width="5.375" style="10" customWidth="1"/>
    <col min="7" max="12" width="4.75390625" style="10" customWidth="1"/>
    <col min="13" max="13" width="4.75390625" style="12" customWidth="1"/>
    <col min="14" max="16" width="5.125" style="10" customWidth="1"/>
    <col min="17" max="17" width="5.75390625" style="10" customWidth="1"/>
    <col min="18" max="18" width="6.75390625" style="10" customWidth="1"/>
    <col min="19" max="16384" width="10.75390625" style="10" customWidth="1"/>
  </cols>
  <sheetData>
    <row r="1" spans="1:13" s="3" customFormat="1" ht="18" customHeight="1">
      <c r="A1" s="15"/>
      <c r="C1" s="4"/>
      <c r="D1" s="4"/>
      <c r="E1" s="4" t="s">
        <v>0</v>
      </c>
      <c r="G1" s="4"/>
      <c r="H1" s="4"/>
      <c r="I1" s="4"/>
      <c r="M1" s="15"/>
    </row>
    <row r="2" spans="1:13" s="3" customFormat="1" ht="10.5" customHeight="1">
      <c r="A2" s="15"/>
      <c r="C2" s="4"/>
      <c r="D2" s="4"/>
      <c r="E2" s="4"/>
      <c r="G2" s="4"/>
      <c r="H2" s="4"/>
      <c r="I2" s="4"/>
      <c r="M2" s="15"/>
    </row>
    <row r="3" spans="1:16" s="9" customFormat="1" ht="10.5">
      <c r="A3" s="16"/>
      <c r="B3" s="11" t="s">
        <v>1</v>
      </c>
      <c r="C3" s="9">
        <v>1988</v>
      </c>
      <c r="D3" s="9">
        <f aca="true" t="shared" si="0" ref="D3:P3">C3+1</f>
        <v>1989</v>
      </c>
      <c r="E3" s="9">
        <f t="shared" si="0"/>
        <v>1990</v>
      </c>
      <c r="F3" s="9">
        <f t="shared" si="0"/>
        <v>1991</v>
      </c>
      <c r="G3" s="9">
        <f t="shared" si="0"/>
        <v>1992</v>
      </c>
      <c r="H3" s="9">
        <f t="shared" si="0"/>
        <v>1993</v>
      </c>
      <c r="I3" s="9">
        <f t="shared" si="0"/>
        <v>1994</v>
      </c>
      <c r="J3" s="9">
        <f t="shared" si="0"/>
        <v>1995</v>
      </c>
      <c r="K3" s="9">
        <f t="shared" si="0"/>
        <v>1996</v>
      </c>
      <c r="L3" s="9">
        <f t="shared" si="0"/>
        <v>1997</v>
      </c>
      <c r="M3" s="16">
        <f t="shared" si="0"/>
        <v>1998</v>
      </c>
      <c r="N3" s="9">
        <f t="shared" si="0"/>
        <v>1999</v>
      </c>
      <c r="O3" s="9">
        <f t="shared" si="0"/>
        <v>2000</v>
      </c>
      <c r="P3" s="9">
        <f t="shared" si="0"/>
        <v>2001</v>
      </c>
    </row>
    <row r="4" spans="1:16" s="9" customFormat="1" ht="10.5">
      <c r="A4" s="16"/>
      <c r="B4" s="10" t="s">
        <v>2</v>
      </c>
      <c r="C4" s="1">
        <v>1191</v>
      </c>
      <c r="D4" s="1">
        <f>C4+D37-590</f>
        <v>642</v>
      </c>
      <c r="E4" s="1">
        <f aca="true" t="shared" si="1" ref="E4:P4">D4+E37</f>
        <v>687</v>
      </c>
      <c r="F4" s="1">
        <f t="shared" si="1"/>
        <v>735</v>
      </c>
      <c r="G4" s="1">
        <f t="shared" si="1"/>
        <v>787</v>
      </c>
      <c r="H4" s="1">
        <f t="shared" si="1"/>
        <v>844</v>
      </c>
      <c r="I4" s="1">
        <f t="shared" si="1"/>
        <v>905</v>
      </c>
      <c r="J4" s="1">
        <f t="shared" si="1"/>
        <v>972</v>
      </c>
      <c r="K4" s="1">
        <f t="shared" si="1"/>
        <v>1044</v>
      </c>
      <c r="L4" s="1">
        <f t="shared" si="1"/>
        <v>1122</v>
      </c>
      <c r="M4" s="13">
        <f t="shared" si="1"/>
        <v>1207</v>
      </c>
      <c r="N4" s="1">
        <f t="shared" si="1"/>
        <v>1299</v>
      </c>
      <c r="O4" s="1">
        <f t="shared" si="1"/>
        <v>1399</v>
      </c>
      <c r="P4" s="1">
        <f t="shared" si="1"/>
        <v>1507</v>
      </c>
    </row>
    <row r="5" spans="1:16" s="9" customFormat="1" ht="10.5">
      <c r="A5" s="16"/>
      <c r="B5" s="10" t="s">
        <v>3</v>
      </c>
      <c r="C5" s="1">
        <f>C13-C4</f>
        <v>26758</v>
      </c>
      <c r="D5" s="1">
        <f>C5+D36-D35-D17+590</f>
        <v>14323</v>
      </c>
      <c r="E5" s="1">
        <f aca="true" t="shared" si="2" ref="E5:P5">D5+E36-E35</f>
        <v>13979</v>
      </c>
      <c r="F5" s="1">
        <f t="shared" si="2"/>
        <v>13633</v>
      </c>
      <c r="G5" s="1">
        <f t="shared" si="2"/>
        <v>13287</v>
      </c>
      <c r="H5" s="1">
        <f t="shared" si="2"/>
        <v>12934</v>
      </c>
      <c r="I5" s="1">
        <f t="shared" si="2"/>
        <v>12582</v>
      </c>
      <c r="J5" s="1">
        <f t="shared" si="2"/>
        <v>12236</v>
      </c>
      <c r="K5" s="1">
        <f t="shared" si="2"/>
        <v>11895</v>
      </c>
      <c r="L5" s="1">
        <f t="shared" si="2"/>
        <v>11558</v>
      </c>
      <c r="M5" s="13">
        <f t="shared" si="2"/>
        <v>11226</v>
      </c>
      <c r="N5" s="1">
        <f t="shared" si="2"/>
        <v>10932</v>
      </c>
      <c r="O5" s="1">
        <f t="shared" si="2"/>
        <v>10680</v>
      </c>
      <c r="P5" s="1">
        <f t="shared" si="2"/>
        <v>10473</v>
      </c>
    </row>
    <row r="6" spans="1:16" s="9" customFormat="1" ht="10.5">
      <c r="A6" s="16"/>
      <c r="B6" s="10" t="s">
        <v>4</v>
      </c>
      <c r="C6" s="1">
        <f aca="true" t="shared" si="3" ref="C6:P6">SUM(C4:C5)</f>
        <v>27949</v>
      </c>
      <c r="D6" s="1">
        <f t="shared" si="3"/>
        <v>14965</v>
      </c>
      <c r="E6" s="1">
        <f t="shared" si="3"/>
        <v>14666</v>
      </c>
      <c r="F6" s="1">
        <f t="shared" si="3"/>
        <v>14368</v>
      </c>
      <c r="G6" s="1">
        <f t="shared" si="3"/>
        <v>14074</v>
      </c>
      <c r="H6" s="1">
        <f t="shared" si="3"/>
        <v>13778</v>
      </c>
      <c r="I6" s="1">
        <f t="shared" si="3"/>
        <v>13487</v>
      </c>
      <c r="J6" s="1">
        <f t="shared" si="3"/>
        <v>13208</v>
      </c>
      <c r="K6" s="1">
        <f t="shared" si="3"/>
        <v>12939</v>
      </c>
      <c r="L6" s="1">
        <f t="shared" si="3"/>
        <v>12680</v>
      </c>
      <c r="M6" s="13">
        <f t="shared" si="3"/>
        <v>12433</v>
      </c>
      <c r="N6" s="1">
        <f t="shared" si="3"/>
        <v>12231</v>
      </c>
      <c r="O6" s="1">
        <f t="shared" si="3"/>
        <v>12079</v>
      </c>
      <c r="P6" s="1">
        <f t="shared" si="3"/>
        <v>11980</v>
      </c>
    </row>
    <row r="7" spans="1:16" s="9" customFormat="1" ht="10.5">
      <c r="A7" s="16"/>
      <c r="B7" s="10"/>
      <c r="C7" s="1"/>
      <c r="D7" s="1"/>
      <c r="E7" s="1"/>
      <c r="F7" s="1"/>
      <c r="G7" s="1"/>
      <c r="H7" s="1"/>
      <c r="I7" s="1"/>
      <c r="J7" s="1"/>
      <c r="K7" s="1"/>
      <c r="L7" s="1"/>
      <c r="M7" s="13"/>
      <c r="N7" s="1"/>
      <c r="O7" s="1"/>
      <c r="P7" s="1"/>
    </row>
    <row r="8" spans="1:16" s="9" customFormat="1" ht="10.5">
      <c r="A8" s="16"/>
      <c r="B8" s="10" t="s">
        <v>5</v>
      </c>
      <c r="C8" s="1">
        <v>5204</v>
      </c>
      <c r="D8" s="1">
        <v>4894</v>
      </c>
      <c r="E8" s="1">
        <v>4519</v>
      </c>
      <c r="F8" s="1">
        <v>3798</v>
      </c>
      <c r="G8" s="1">
        <v>2982</v>
      </c>
      <c r="H8" s="1">
        <v>2582</v>
      </c>
      <c r="I8" s="1">
        <v>1857</v>
      </c>
      <c r="J8" s="1">
        <v>0</v>
      </c>
      <c r="K8" s="1">
        <v>0</v>
      </c>
      <c r="L8" s="1">
        <v>0</v>
      </c>
      <c r="M8" s="13">
        <v>0</v>
      </c>
      <c r="N8" s="1">
        <v>0</v>
      </c>
      <c r="O8" s="1">
        <v>0</v>
      </c>
      <c r="P8" s="1">
        <v>0</v>
      </c>
    </row>
    <row r="9" spans="1:16" s="9" customFormat="1" ht="10.5">
      <c r="A9" s="16"/>
      <c r="B9" s="10" t="s">
        <v>6</v>
      </c>
      <c r="C9" s="1">
        <v>18000</v>
      </c>
      <c r="D9" s="1">
        <f>3000+3292</f>
        <v>6292</v>
      </c>
      <c r="E9" s="1">
        <v>6075</v>
      </c>
      <c r="F9" s="1">
        <v>5878</v>
      </c>
      <c r="G9" s="1">
        <v>5413</v>
      </c>
      <c r="H9" s="1">
        <v>4221</v>
      </c>
      <c r="I9" s="1">
        <v>3000</v>
      </c>
      <c r="J9" s="1">
        <v>2515</v>
      </c>
      <c r="K9" s="1">
        <v>0</v>
      </c>
      <c r="L9" s="1">
        <v>0</v>
      </c>
      <c r="M9" s="13">
        <v>0</v>
      </c>
      <c r="N9" s="1">
        <v>0</v>
      </c>
      <c r="O9" s="1">
        <v>0</v>
      </c>
      <c r="P9" s="1">
        <v>0</v>
      </c>
    </row>
    <row r="10" spans="1:16" s="9" customFormat="1" ht="10.5">
      <c r="A10" s="16"/>
      <c r="B10" s="10" t="s">
        <v>7</v>
      </c>
      <c r="C10" s="1">
        <v>1374</v>
      </c>
      <c r="D10" s="1">
        <f aca="true" t="shared" si="4" ref="D10:J11">C10*1.188</f>
        <v>1632.312</v>
      </c>
      <c r="E10" s="1">
        <f t="shared" si="4"/>
        <v>1939.1866559999999</v>
      </c>
      <c r="F10" s="1">
        <f t="shared" si="4"/>
        <v>2303.753747328</v>
      </c>
      <c r="G10" s="1">
        <f t="shared" si="4"/>
        <v>2736.8594518256637</v>
      </c>
      <c r="H10" s="1">
        <f t="shared" si="4"/>
        <v>3251.3890287688882</v>
      </c>
      <c r="I10" s="1">
        <f t="shared" si="4"/>
        <v>3862.650166177439</v>
      </c>
      <c r="J10" s="1">
        <f t="shared" si="4"/>
        <v>4588.828397418797</v>
      </c>
      <c r="K10" s="1">
        <v>5170</v>
      </c>
      <c r="L10" s="1">
        <v>2811</v>
      </c>
      <c r="M10" s="13">
        <v>0</v>
      </c>
      <c r="N10" s="1">
        <v>0</v>
      </c>
      <c r="O10" s="1">
        <v>0</v>
      </c>
      <c r="P10" s="1">
        <v>0</v>
      </c>
    </row>
    <row r="11" spans="1:16" s="9" customFormat="1" ht="10.5">
      <c r="A11" s="16"/>
      <c r="B11" s="10" t="s">
        <v>8</v>
      </c>
      <c r="C11" s="1">
        <v>871</v>
      </c>
      <c r="D11" s="1">
        <f t="shared" si="4"/>
        <v>1034.748</v>
      </c>
      <c r="E11" s="1">
        <f t="shared" si="4"/>
        <v>1229.280624</v>
      </c>
      <c r="F11" s="1">
        <f t="shared" si="4"/>
        <v>1460.385381312</v>
      </c>
      <c r="G11" s="1">
        <f t="shared" si="4"/>
        <v>1734.937832998656</v>
      </c>
      <c r="H11" s="1">
        <f t="shared" si="4"/>
        <v>2061.106145602403</v>
      </c>
      <c r="I11" s="1">
        <f t="shared" si="4"/>
        <v>2448.594100975655</v>
      </c>
      <c r="J11" s="1">
        <f t="shared" si="4"/>
        <v>2908.9297919590776</v>
      </c>
      <c r="K11" s="1">
        <f>J11*1.188</f>
        <v>3455.8085928473843</v>
      </c>
      <c r="L11" s="1">
        <f>K11*1.188</f>
        <v>4105.500608302692</v>
      </c>
      <c r="M11" s="13">
        <v>4552</v>
      </c>
      <c r="N11" s="1">
        <f>4552-3004</f>
        <v>1548</v>
      </c>
      <c r="O11" s="1">
        <v>0</v>
      </c>
      <c r="P11" s="1">
        <v>0</v>
      </c>
    </row>
    <row r="12" spans="1:16" s="9" customFormat="1" ht="10.5">
      <c r="A12" s="16"/>
      <c r="B12" s="10" t="s">
        <v>9</v>
      </c>
      <c r="C12" s="1">
        <v>2500</v>
      </c>
      <c r="D12" s="1">
        <f>C12+D33-D43</f>
        <v>1111.9399999999996</v>
      </c>
      <c r="E12" s="1">
        <f>D12+E33-E43</f>
        <v>903.5327199999997</v>
      </c>
      <c r="F12" s="1">
        <f>E12+F33-F43</f>
        <v>927.8608713599997</v>
      </c>
      <c r="G12" s="1">
        <f>F12+G33-G43</f>
        <v>1207.2027151756802</v>
      </c>
      <c r="H12" s="1">
        <f>G12+H33-H43</f>
        <v>1662.5048256287087</v>
      </c>
      <c r="I12" s="1">
        <f aca="true" t="shared" si="5" ref="I12:P12">H12+I33-I43</f>
        <v>2318.755732846906</v>
      </c>
      <c r="J12" s="1">
        <f t="shared" si="5"/>
        <v>3195.241810622125</v>
      </c>
      <c r="K12" s="1">
        <f t="shared" si="5"/>
        <v>4313.191407152615</v>
      </c>
      <c r="L12" s="1">
        <f t="shared" si="5"/>
        <v>5763.499391697307</v>
      </c>
      <c r="M12" s="13">
        <f t="shared" si="5"/>
        <v>7880.999999999999</v>
      </c>
      <c r="N12" s="1">
        <f t="shared" si="5"/>
        <v>10682.999999999998</v>
      </c>
      <c r="O12" s="1">
        <f t="shared" si="5"/>
        <v>12078.999999999998</v>
      </c>
      <c r="P12" s="1">
        <f t="shared" si="5"/>
        <v>11979.999999999996</v>
      </c>
    </row>
    <row r="13" spans="1:16" s="8" customFormat="1" ht="10.5">
      <c r="A13" s="16"/>
      <c r="B13" s="6" t="s">
        <v>10</v>
      </c>
      <c r="C13" s="5">
        <f aca="true" t="shared" si="6" ref="C13:P13">SUM(C8:C12)</f>
        <v>27949</v>
      </c>
      <c r="D13" s="5">
        <f t="shared" si="6"/>
        <v>14965</v>
      </c>
      <c r="E13" s="5">
        <f t="shared" si="6"/>
        <v>14666</v>
      </c>
      <c r="F13" s="5">
        <f t="shared" si="6"/>
        <v>14368</v>
      </c>
      <c r="G13" s="5">
        <f t="shared" si="6"/>
        <v>14074</v>
      </c>
      <c r="H13" s="5">
        <f t="shared" si="6"/>
        <v>13778</v>
      </c>
      <c r="I13" s="5">
        <f t="shared" si="6"/>
        <v>13487</v>
      </c>
      <c r="J13" s="5">
        <f t="shared" si="6"/>
        <v>13208</v>
      </c>
      <c r="K13" s="5">
        <f t="shared" si="6"/>
        <v>12939</v>
      </c>
      <c r="L13" s="5">
        <f t="shared" si="6"/>
        <v>12680</v>
      </c>
      <c r="M13" s="5">
        <f t="shared" si="6"/>
        <v>12433</v>
      </c>
      <c r="N13" s="5">
        <f t="shared" si="6"/>
        <v>12230.999999999998</v>
      </c>
      <c r="O13" s="5">
        <f t="shared" si="6"/>
        <v>12078.999999999998</v>
      </c>
      <c r="P13" s="5">
        <f t="shared" si="6"/>
        <v>11979.999999999996</v>
      </c>
    </row>
    <row r="14" spans="2:16" s="16" customFormat="1" ht="10.5"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3" s="9" customFormat="1" ht="10.5">
      <c r="A15" s="16"/>
      <c r="C15" s="2"/>
      <c r="D15" s="9">
        <v>1989</v>
      </c>
      <c r="E15" s="2"/>
      <c r="F15" s="2"/>
      <c r="G15" s="2"/>
      <c r="M15" s="16"/>
    </row>
    <row r="16" spans="1:13" s="9" customFormat="1" ht="10.5">
      <c r="A16" s="16"/>
      <c r="B16" s="9" t="s">
        <v>11</v>
      </c>
      <c r="C16" s="2"/>
      <c r="D16" s="2">
        <v>12680</v>
      </c>
      <c r="E16" s="2"/>
      <c r="F16" s="1"/>
      <c r="G16" s="1"/>
      <c r="M16" s="16"/>
    </row>
    <row r="17" spans="1:13" s="9" customFormat="1" ht="10.5">
      <c r="A17" s="16"/>
      <c r="B17" s="10" t="s">
        <v>12</v>
      </c>
      <c r="C17" s="1"/>
      <c r="D17" s="1">
        <v>12680</v>
      </c>
      <c r="E17" s="1"/>
      <c r="F17" s="2"/>
      <c r="G17" s="1"/>
      <c r="M17" s="16"/>
    </row>
    <row r="18" spans="1:13" s="9" customFormat="1" ht="10.5">
      <c r="A18" s="16"/>
      <c r="B18" s="10" t="s">
        <v>13</v>
      </c>
      <c r="C18" s="1"/>
      <c r="D18" s="1">
        <f>INT((D16-D17)*0.34)</f>
        <v>0</v>
      </c>
      <c r="E18" s="1"/>
      <c r="F18" s="2"/>
      <c r="G18" s="2"/>
      <c r="M18" s="16"/>
    </row>
    <row r="19" spans="1:13" s="9" customFormat="1" ht="10.5">
      <c r="A19" s="16"/>
      <c r="B19" s="10" t="s">
        <v>14</v>
      </c>
      <c r="C19" s="1"/>
      <c r="D19" s="1">
        <f>D16-D18</f>
        <v>12680</v>
      </c>
      <c r="E19" s="1"/>
      <c r="F19" s="2"/>
      <c r="G19" s="1"/>
      <c r="M19" s="16"/>
    </row>
    <row r="20" spans="1:13" s="9" customFormat="1" ht="10.5">
      <c r="A20" s="16"/>
      <c r="B20" s="9" t="s">
        <v>15</v>
      </c>
      <c r="C20" s="2"/>
      <c r="D20" s="2">
        <f>D16-D17-D18</f>
        <v>0</v>
      </c>
      <c r="E20" s="2"/>
      <c r="F20" s="2"/>
      <c r="G20" s="2"/>
      <c r="H20" s="2"/>
      <c r="M20" s="16"/>
    </row>
    <row r="21" spans="1:13" s="9" customFormat="1" ht="10.5">
      <c r="A21" s="16"/>
      <c r="C21" s="2"/>
      <c r="D21" s="2"/>
      <c r="E21" s="2"/>
      <c r="F21" s="2"/>
      <c r="G21" s="2"/>
      <c r="M21" s="16"/>
    </row>
    <row r="22" spans="1:16" s="9" customFormat="1" ht="12" customHeight="1">
      <c r="A22" s="16"/>
      <c r="B22" s="9" t="s">
        <v>16</v>
      </c>
      <c r="G22" s="10"/>
      <c r="H22" s="10"/>
      <c r="I22" s="10"/>
      <c r="J22" s="10"/>
      <c r="K22" s="10"/>
      <c r="L22" s="10"/>
      <c r="M22" s="12"/>
      <c r="N22" s="10"/>
      <c r="O22" s="10"/>
      <c r="P22" s="10"/>
    </row>
    <row r="23" spans="1:16" s="9" customFormat="1" ht="12" customHeight="1">
      <c r="A23" s="16"/>
      <c r="G23" s="10"/>
      <c r="H23" s="10"/>
      <c r="I23" s="10"/>
      <c r="J23" s="10"/>
      <c r="K23" s="10"/>
      <c r="L23" s="10"/>
      <c r="M23" s="12"/>
      <c r="N23" s="10"/>
      <c r="O23" s="10"/>
      <c r="P23" s="10"/>
    </row>
    <row r="24" spans="1:16" s="9" customFormat="1" ht="10.5">
      <c r="A24" s="16"/>
      <c r="B24" s="11" t="s">
        <v>1</v>
      </c>
      <c r="C24" s="9">
        <v>1988</v>
      </c>
      <c r="D24" s="9">
        <f aca="true" t="shared" si="7" ref="D24:P24">C24+1</f>
        <v>1989</v>
      </c>
      <c r="E24" s="9">
        <f t="shared" si="7"/>
        <v>1990</v>
      </c>
      <c r="F24" s="9">
        <f t="shared" si="7"/>
        <v>1991</v>
      </c>
      <c r="G24" s="9">
        <f t="shared" si="7"/>
        <v>1992</v>
      </c>
      <c r="H24" s="9">
        <f t="shared" si="7"/>
        <v>1993</v>
      </c>
      <c r="I24" s="9">
        <f t="shared" si="7"/>
        <v>1994</v>
      </c>
      <c r="J24" s="9">
        <f t="shared" si="7"/>
        <v>1995</v>
      </c>
      <c r="K24" s="9">
        <f t="shared" si="7"/>
        <v>1996</v>
      </c>
      <c r="L24" s="9">
        <f t="shared" si="7"/>
        <v>1997</v>
      </c>
      <c r="M24" s="16">
        <f t="shared" si="7"/>
        <v>1998</v>
      </c>
      <c r="N24" s="9">
        <f t="shared" si="7"/>
        <v>1999</v>
      </c>
      <c r="O24" s="9">
        <f t="shared" si="7"/>
        <v>2000</v>
      </c>
      <c r="P24" s="9">
        <f t="shared" si="7"/>
        <v>2001</v>
      </c>
    </row>
    <row r="25" spans="1:16" ht="10.5" customHeight="1">
      <c r="A25" s="12">
        <v>1</v>
      </c>
      <c r="B25" s="9" t="s">
        <v>17</v>
      </c>
      <c r="C25" s="1">
        <v>16950</v>
      </c>
      <c r="D25" s="1">
        <v>7650</v>
      </c>
      <c r="E25" s="1">
        <v>8293</v>
      </c>
      <c r="F25" s="1">
        <v>8983</v>
      </c>
      <c r="G25" s="1">
        <v>9731</v>
      </c>
      <c r="H25" s="1">
        <v>10540</v>
      </c>
      <c r="I25" s="1">
        <v>11418</v>
      </c>
      <c r="J25" s="1">
        <v>12368</v>
      </c>
      <c r="K25" s="1">
        <v>13397</v>
      </c>
      <c r="L25" s="1">
        <v>14514</v>
      </c>
      <c r="M25" s="13">
        <v>15723</v>
      </c>
      <c r="N25" s="1">
        <f>M25*1.083</f>
        <v>17028.009</v>
      </c>
      <c r="O25" s="1">
        <f>N25*1.083</f>
        <v>18441.333746999997</v>
      </c>
      <c r="P25" s="1">
        <f>O25*1.083</f>
        <v>19971.964448000996</v>
      </c>
    </row>
    <row r="26" spans="1:16" s="6" customFormat="1" ht="10.5" customHeight="1">
      <c r="A26" s="12">
        <v>2</v>
      </c>
      <c r="B26" s="12" t="s">
        <v>18</v>
      </c>
      <c r="C26" s="13">
        <v>2653</v>
      </c>
      <c r="D26" s="13">
        <v>1917</v>
      </c>
      <c r="E26" s="13">
        <v>2385</v>
      </c>
      <c r="F26" s="13">
        <v>2814</v>
      </c>
      <c r="G26" s="13">
        <v>3266</v>
      </c>
      <c r="H26" s="13">
        <v>3589</v>
      </c>
      <c r="I26" s="13">
        <v>3945</v>
      </c>
      <c r="J26" s="13">
        <v>4337</v>
      </c>
      <c r="K26" s="13">
        <v>4768</v>
      </c>
      <c r="L26" s="13">
        <v>5243</v>
      </c>
      <c r="M26" s="13">
        <v>5766</v>
      </c>
      <c r="N26" s="13">
        <f>N25*0.36</f>
        <v>6130.083239999999</v>
      </c>
      <c r="O26" s="13">
        <f>O25*0.36</f>
        <v>6638.880148919999</v>
      </c>
      <c r="P26" s="13">
        <f>P25*0.36</f>
        <v>7189.907201280358</v>
      </c>
    </row>
    <row r="27" spans="1:16" ht="10.5">
      <c r="A27" s="12">
        <v>3</v>
      </c>
      <c r="B27" s="10" t="s">
        <v>19</v>
      </c>
      <c r="C27" s="10">
        <v>551</v>
      </c>
      <c r="D27" s="1">
        <v>2792</v>
      </c>
      <c r="E27" s="1">
        <v>1353</v>
      </c>
      <c r="F27" s="1">
        <v>1286</v>
      </c>
      <c r="G27" s="1">
        <v>1183</v>
      </c>
      <c r="H27" s="1">
        <v>1037</v>
      </c>
      <c r="I27" s="10">
        <v>850</v>
      </c>
      <c r="J27" s="10">
        <v>624</v>
      </c>
      <c r="K27" s="10">
        <v>351</v>
      </c>
      <c r="L27" s="10">
        <v>0</v>
      </c>
      <c r="M27" s="12">
        <v>0</v>
      </c>
      <c r="N27" s="10">
        <v>0</v>
      </c>
      <c r="O27" s="10">
        <v>0</v>
      </c>
      <c r="P27" s="10">
        <v>0</v>
      </c>
    </row>
    <row r="28" spans="1:16" ht="10.5">
      <c r="A28" s="12">
        <v>4</v>
      </c>
      <c r="B28" s="10" t="s">
        <v>20</v>
      </c>
      <c r="C28" s="1">
        <f aca="true" t="shared" si="8" ref="C28:P28">(C26-C27)*0.34</f>
        <v>714.6800000000001</v>
      </c>
      <c r="D28" s="1">
        <f t="shared" si="8"/>
        <v>-297.5</v>
      </c>
      <c r="E28" s="1">
        <f t="shared" si="8"/>
        <v>350.88000000000005</v>
      </c>
      <c r="F28" s="1">
        <f t="shared" si="8"/>
        <v>519.52</v>
      </c>
      <c r="G28" s="1">
        <f t="shared" si="8"/>
        <v>708.22</v>
      </c>
      <c r="H28" s="1">
        <f t="shared" si="8"/>
        <v>867.6800000000001</v>
      </c>
      <c r="I28" s="1">
        <f t="shared" si="8"/>
        <v>1052.3000000000002</v>
      </c>
      <c r="J28" s="1">
        <f t="shared" si="8"/>
        <v>1262.42</v>
      </c>
      <c r="K28" s="1">
        <f t="shared" si="8"/>
        <v>1501.7800000000002</v>
      </c>
      <c r="L28" s="1">
        <f t="shared" si="8"/>
        <v>1782.6200000000001</v>
      </c>
      <c r="M28" s="13">
        <f t="shared" si="8"/>
        <v>1960.44</v>
      </c>
      <c r="N28" s="1">
        <f t="shared" si="8"/>
        <v>2084.2283015999997</v>
      </c>
      <c r="O28" s="1">
        <f t="shared" si="8"/>
        <v>2257.2192506327997</v>
      </c>
      <c r="P28" s="1">
        <f t="shared" si="8"/>
        <v>2444.568448435322</v>
      </c>
    </row>
    <row r="29" spans="1:16" ht="10.5">
      <c r="A29" s="12">
        <v>5</v>
      </c>
      <c r="B29" s="10" t="s">
        <v>21</v>
      </c>
      <c r="C29" s="1"/>
      <c r="D29" s="1">
        <v>388</v>
      </c>
      <c r="E29" s="1">
        <v>388</v>
      </c>
      <c r="F29" s="1">
        <v>388</v>
      </c>
      <c r="G29" s="1">
        <v>388</v>
      </c>
      <c r="H29" s="1">
        <v>388</v>
      </c>
      <c r="I29" s="1">
        <v>388</v>
      </c>
      <c r="J29" s="1">
        <v>388</v>
      </c>
      <c r="K29" s="1">
        <v>388</v>
      </c>
      <c r="L29" s="1">
        <v>388</v>
      </c>
      <c r="M29" s="13">
        <v>388</v>
      </c>
      <c r="N29" s="1">
        <v>388</v>
      </c>
      <c r="O29" s="1">
        <v>388</v>
      </c>
      <c r="P29" s="1">
        <v>388</v>
      </c>
    </row>
    <row r="30" spans="1:16" s="6" customFormat="1" ht="10.5">
      <c r="A30" s="12">
        <v>6</v>
      </c>
      <c r="B30" s="8" t="s">
        <v>22</v>
      </c>
      <c r="C30" s="7">
        <v>1360</v>
      </c>
      <c r="D30" s="7">
        <f>INT(D26-D27-D28-D29)</f>
        <v>-966</v>
      </c>
      <c r="E30" s="7">
        <f aca="true" t="shared" si="9" ref="E30:P30">E26-E27-E28-E29</f>
        <v>293.1199999999999</v>
      </c>
      <c r="F30" s="7">
        <f t="shared" si="9"/>
        <v>620.48</v>
      </c>
      <c r="G30" s="7">
        <f t="shared" si="9"/>
        <v>986.78</v>
      </c>
      <c r="H30" s="7">
        <f t="shared" si="9"/>
        <v>1296.32</v>
      </c>
      <c r="I30" s="7">
        <f t="shared" si="9"/>
        <v>1654.6999999999998</v>
      </c>
      <c r="J30" s="7">
        <f t="shared" si="9"/>
        <v>2062.58</v>
      </c>
      <c r="K30" s="7">
        <f t="shared" si="9"/>
        <v>2527.22</v>
      </c>
      <c r="L30" s="7">
        <f t="shared" si="9"/>
        <v>3072.38</v>
      </c>
      <c r="M30" s="7">
        <f t="shared" si="9"/>
        <v>3417.56</v>
      </c>
      <c r="N30" s="7">
        <f t="shared" si="9"/>
        <v>3657.8549383999994</v>
      </c>
      <c r="O30" s="7">
        <f t="shared" si="9"/>
        <v>3993.6608982871985</v>
      </c>
      <c r="P30" s="7">
        <f t="shared" si="9"/>
        <v>4357.338752845037</v>
      </c>
    </row>
    <row r="31" spans="1:16" ht="10.5">
      <c r="A31" s="12">
        <v>7</v>
      </c>
      <c r="B31" s="12" t="s">
        <v>23</v>
      </c>
      <c r="C31" s="13"/>
      <c r="D31" s="13">
        <f aca="true" t="shared" si="10" ref="D31:I31">D11-C11+D10-C10</f>
        <v>422.05999999999995</v>
      </c>
      <c r="E31" s="13">
        <f t="shared" si="10"/>
        <v>501.4072799999999</v>
      </c>
      <c r="F31" s="13">
        <f t="shared" si="10"/>
        <v>595.67184864</v>
      </c>
      <c r="G31" s="13">
        <f t="shared" si="10"/>
        <v>707.6581561843195</v>
      </c>
      <c r="H31" s="13">
        <f t="shared" si="10"/>
        <v>840.6978895469715</v>
      </c>
      <c r="I31" s="13">
        <f t="shared" si="10"/>
        <v>998.7490927818026</v>
      </c>
      <c r="J31" s="13">
        <f aca="true" t="shared" si="11" ref="J31:P31">(I10+I11)*0.188</f>
        <v>1186.5139222247815</v>
      </c>
      <c r="K31" s="13">
        <f t="shared" si="11"/>
        <v>1409.5785396030406</v>
      </c>
      <c r="L31" s="13">
        <f t="shared" si="11"/>
        <v>1621.6520154553084</v>
      </c>
      <c r="M31" s="13">
        <f t="shared" si="11"/>
        <v>1300.302114360906</v>
      </c>
      <c r="N31" s="13">
        <f t="shared" si="11"/>
        <v>855.776</v>
      </c>
      <c r="O31" s="13">
        <f t="shared" si="11"/>
        <v>291.024</v>
      </c>
      <c r="P31" s="13">
        <f t="shared" si="11"/>
        <v>0</v>
      </c>
    </row>
    <row r="32" spans="1:16" ht="10.5">
      <c r="A32" s="12">
        <v>8</v>
      </c>
      <c r="B32" s="12" t="s">
        <v>24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 s="6" customFormat="1" ht="10.5">
      <c r="A33" s="12">
        <f aca="true" t="shared" si="12" ref="A33:A48">A32+1</f>
        <v>9</v>
      </c>
      <c r="B33" s="6" t="s">
        <v>25</v>
      </c>
      <c r="C33" s="7"/>
      <c r="D33" s="7">
        <f>D30-D31+D32</f>
        <v>-1388.06</v>
      </c>
      <c r="E33" s="7">
        <f>E30-E31+E32</f>
        <v>-208.28728</v>
      </c>
      <c r="F33" s="7">
        <f aca="true" t="shared" si="13" ref="F33:P33">F30-F31</f>
        <v>24.80815136000001</v>
      </c>
      <c r="G33" s="7">
        <f t="shared" si="13"/>
        <v>279.12184381568045</v>
      </c>
      <c r="H33" s="7">
        <f t="shared" si="13"/>
        <v>455.6221104530284</v>
      </c>
      <c r="I33" s="7">
        <f t="shared" si="13"/>
        <v>655.9509072181972</v>
      </c>
      <c r="J33" s="7">
        <f t="shared" si="13"/>
        <v>876.0660777752184</v>
      </c>
      <c r="K33" s="7">
        <f t="shared" si="13"/>
        <v>1117.6414603969592</v>
      </c>
      <c r="L33" s="7">
        <f t="shared" si="13"/>
        <v>1450.7279845446917</v>
      </c>
      <c r="M33" s="7">
        <f t="shared" si="13"/>
        <v>2117.2578856390937</v>
      </c>
      <c r="N33" s="7">
        <f t="shared" si="13"/>
        <v>2802.0789383999995</v>
      </c>
      <c r="O33" s="7">
        <f t="shared" si="13"/>
        <v>3702.6368982871986</v>
      </c>
      <c r="P33" s="7">
        <f t="shared" si="13"/>
        <v>4357.338752845037</v>
      </c>
    </row>
    <row r="34" spans="1:16" ht="10.5">
      <c r="A34" s="12">
        <f t="shared" si="12"/>
        <v>10</v>
      </c>
      <c r="B34" s="10" t="s">
        <v>26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3"/>
      <c r="N34" s="1"/>
      <c r="O34" s="1"/>
      <c r="P34" s="1"/>
    </row>
    <row r="35" spans="2:16" ht="10.5">
      <c r="B35" s="10" t="s">
        <v>27</v>
      </c>
      <c r="C35" s="10">
        <v>730</v>
      </c>
      <c r="D35" s="10">
        <v>777</v>
      </c>
      <c r="E35" s="10">
        <v>725</v>
      </c>
      <c r="F35" s="10">
        <v>726</v>
      </c>
      <c r="G35" s="10">
        <v>735</v>
      </c>
      <c r="H35" s="10">
        <v>749</v>
      </c>
      <c r="I35" s="10">
        <v>754</v>
      </c>
      <c r="J35" s="10">
        <v>758</v>
      </c>
      <c r="K35" s="10">
        <v>763</v>
      </c>
      <c r="L35" s="10">
        <v>769</v>
      </c>
      <c r="M35" s="12">
        <v>774</v>
      </c>
      <c r="N35" s="10">
        <v>774</v>
      </c>
      <c r="O35" s="10">
        <v>774</v>
      </c>
      <c r="P35" s="10">
        <v>774</v>
      </c>
    </row>
    <row r="36" spans="1:16" ht="10.5">
      <c r="A36" s="12">
        <v>11</v>
      </c>
      <c r="B36" s="10" t="s">
        <v>28</v>
      </c>
      <c r="C36" s="1">
        <v>1142</v>
      </c>
      <c r="D36" s="10">
        <v>432</v>
      </c>
      <c r="E36" s="10">
        <v>381</v>
      </c>
      <c r="F36" s="10">
        <v>380</v>
      </c>
      <c r="G36" s="10">
        <v>389</v>
      </c>
      <c r="H36" s="10">
        <v>396</v>
      </c>
      <c r="I36" s="10">
        <v>402</v>
      </c>
      <c r="J36" s="10">
        <v>412</v>
      </c>
      <c r="K36" s="10">
        <v>422</v>
      </c>
      <c r="L36" s="10">
        <v>432</v>
      </c>
      <c r="M36" s="12">
        <v>442</v>
      </c>
      <c r="N36" s="10">
        <f aca="true" t="shared" si="14" ref="N36:P37">INT(M36*1.088)</f>
        <v>480</v>
      </c>
      <c r="O36" s="10">
        <f t="shared" si="14"/>
        <v>522</v>
      </c>
      <c r="P36" s="10">
        <f t="shared" si="14"/>
        <v>567</v>
      </c>
    </row>
    <row r="37" spans="1:16" ht="10.5">
      <c r="A37" s="12">
        <f t="shared" si="12"/>
        <v>12</v>
      </c>
      <c r="B37" s="10" t="s">
        <v>29</v>
      </c>
      <c r="C37" s="1"/>
      <c r="D37" s="10">
        <v>41</v>
      </c>
      <c r="E37" s="10">
        <v>45</v>
      </c>
      <c r="F37" s="10">
        <v>48</v>
      </c>
      <c r="G37" s="10">
        <v>52</v>
      </c>
      <c r="H37" s="10">
        <v>57</v>
      </c>
      <c r="I37" s="10">
        <v>61</v>
      </c>
      <c r="J37" s="10">
        <v>67</v>
      </c>
      <c r="K37" s="10">
        <v>72</v>
      </c>
      <c r="L37" s="10">
        <v>78</v>
      </c>
      <c r="M37" s="12">
        <v>85</v>
      </c>
      <c r="N37" s="10">
        <f t="shared" si="14"/>
        <v>92</v>
      </c>
      <c r="O37" s="10">
        <f t="shared" si="14"/>
        <v>100</v>
      </c>
      <c r="P37" s="10">
        <f t="shared" si="14"/>
        <v>108</v>
      </c>
    </row>
    <row r="38" spans="1:16" ht="10.5">
      <c r="A38" s="12">
        <f t="shared" si="12"/>
        <v>13</v>
      </c>
      <c r="B38" s="10" t="s">
        <v>30</v>
      </c>
      <c r="C38" s="1"/>
      <c r="D38" s="1">
        <f>D17</f>
        <v>12680</v>
      </c>
      <c r="E38" s="1"/>
      <c r="F38" s="1"/>
      <c r="G38" s="1"/>
      <c r="H38" s="1"/>
      <c r="I38" s="1"/>
      <c r="J38" s="1"/>
      <c r="K38" s="1"/>
      <c r="L38" s="1"/>
      <c r="M38" s="13"/>
      <c r="N38" s="1"/>
      <c r="O38" s="1"/>
      <c r="P38" s="1"/>
    </row>
    <row r="39" spans="1:16" ht="10.5">
      <c r="A39" s="12">
        <f t="shared" si="12"/>
        <v>14</v>
      </c>
      <c r="B39" s="10" t="s">
        <v>31</v>
      </c>
      <c r="C39" s="1"/>
      <c r="D39" s="1">
        <f aca="true" t="shared" si="15" ref="D39:P39">D8+D9-C8-C9</f>
        <v>-12018</v>
      </c>
      <c r="E39" s="1">
        <f t="shared" si="15"/>
        <v>-592</v>
      </c>
      <c r="F39" s="1">
        <f t="shared" si="15"/>
        <v>-918</v>
      </c>
      <c r="G39" s="1">
        <f t="shared" si="15"/>
        <v>-1281</v>
      </c>
      <c r="H39" s="1">
        <f t="shared" si="15"/>
        <v>-1592</v>
      </c>
      <c r="I39" s="1">
        <f t="shared" si="15"/>
        <v>-1946</v>
      </c>
      <c r="J39" s="1">
        <f t="shared" si="15"/>
        <v>-2342</v>
      </c>
      <c r="K39" s="1">
        <f t="shared" si="15"/>
        <v>-2515</v>
      </c>
      <c r="L39" s="1">
        <f t="shared" si="15"/>
        <v>0</v>
      </c>
      <c r="M39" s="13">
        <f t="shared" si="15"/>
        <v>0</v>
      </c>
      <c r="N39" s="1">
        <f t="shared" si="15"/>
        <v>0</v>
      </c>
      <c r="O39" s="1">
        <f t="shared" si="15"/>
        <v>0</v>
      </c>
      <c r="P39" s="1">
        <f t="shared" si="15"/>
        <v>0</v>
      </c>
    </row>
    <row r="40" spans="1:16" ht="10.5">
      <c r="A40" s="12">
        <f t="shared" si="12"/>
        <v>15</v>
      </c>
      <c r="B40" s="12" t="s">
        <v>32</v>
      </c>
      <c r="C40" s="1"/>
      <c r="D40" s="1">
        <f aca="true" t="shared" si="16" ref="D40:P40">D31</f>
        <v>422.05999999999995</v>
      </c>
      <c r="E40" s="1">
        <f t="shared" si="16"/>
        <v>501.4072799999999</v>
      </c>
      <c r="F40" s="1">
        <f t="shared" si="16"/>
        <v>595.67184864</v>
      </c>
      <c r="G40" s="1">
        <f t="shared" si="16"/>
        <v>707.6581561843195</v>
      </c>
      <c r="H40" s="1">
        <f t="shared" si="16"/>
        <v>840.6978895469715</v>
      </c>
      <c r="I40" s="1">
        <f t="shared" si="16"/>
        <v>998.7490927818026</v>
      </c>
      <c r="J40" s="1">
        <f t="shared" si="16"/>
        <v>1186.5139222247815</v>
      </c>
      <c r="K40" s="1">
        <f t="shared" si="16"/>
        <v>1409.5785396030406</v>
      </c>
      <c r="L40" s="1">
        <f t="shared" si="16"/>
        <v>1621.6520154553084</v>
      </c>
      <c r="M40" s="13">
        <f t="shared" si="16"/>
        <v>1300.302114360906</v>
      </c>
      <c r="N40" s="1">
        <f t="shared" si="16"/>
        <v>855.776</v>
      </c>
      <c r="O40" s="1">
        <f t="shared" si="16"/>
        <v>291.024</v>
      </c>
      <c r="P40" s="1">
        <f t="shared" si="16"/>
        <v>0</v>
      </c>
    </row>
    <row r="41" spans="1:16" ht="10.5">
      <c r="A41" s="12">
        <f t="shared" si="12"/>
        <v>16</v>
      </c>
      <c r="B41" s="10" t="s">
        <v>33</v>
      </c>
      <c r="C41" s="1"/>
      <c r="D41" s="1"/>
      <c r="E41" s="1"/>
      <c r="F41" s="1"/>
      <c r="G41" s="1"/>
      <c r="H41" s="1"/>
      <c r="I41" s="1"/>
      <c r="J41" s="1"/>
      <c r="K41" s="1">
        <f aca="true" t="shared" si="17" ref="K41:P41">K10-J10*1.188</f>
        <v>-281.528136133531</v>
      </c>
      <c r="L41" s="1">
        <f t="shared" si="17"/>
        <v>-3330.96</v>
      </c>
      <c r="M41" s="13">
        <f t="shared" si="17"/>
        <v>-3339.468</v>
      </c>
      <c r="N41" s="1">
        <f t="shared" si="17"/>
        <v>0</v>
      </c>
      <c r="O41" s="1">
        <f t="shared" si="17"/>
        <v>0</v>
      </c>
      <c r="P41" s="1">
        <f t="shared" si="17"/>
        <v>0</v>
      </c>
    </row>
    <row r="42" spans="1:16" ht="10.5">
      <c r="A42" s="12">
        <f t="shared" si="12"/>
        <v>17</v>
      </c>
      <c r="B42" s="10" t="s">
        <v>34</v>
      </c>
      <c r="C42" s="1"/>
      <c r="D42" s="1"/>
      <c r="E42" s="1"/>
      <c r="F42" s="1"/>
      <c r="G42" s="1"/>
      <c r="H42" s="1"/>
      <c r="I42" s="1"/>
      <c r="J42" s="1"/>
      <c r="K42" s="1"/>
      <c r="L42" s="1">
        <f>L11-K11*1.188</f>
        <v>0</v>
      </c>
      <c r="M42" s="13">
        <f>M11-L11*1.188</f>
        <v>-325.33472266359786</v>
      </c>
      <c r="N42" s="1">
        <f>N11-M11*1.188</f>
        <v>-3859.776</v>
      </c>
      <c r="O42" s="1">
        <f>O11-N11*1.188</f>
        <v>-1839.024</v>
      </c>
      <c r="P42" s="1">
        <f>P11-O11*1.188</f>
        <v>0</v>
      </c>
    </row>
    <row r="43" spans="1:16" s="8" customFormat="1" ht="10.5">
      <c r="A43" s="12">
        <f t="shared" si="12"/>
        <v>18</v>
      </c>
      <c r="B43" s="8" t="s">
        <v>35</v>
      </c>
      <c r="C43" s="7"/>
      <c r="D43" s="7">
        <f aca="true" t="shared" si="18" ref="D43:P43">D33+D35-D36-D37+D38+D39+D40+D41+D42</f>
        <v>4.547473508864641E-13</v>
      </c>
      <c r="E43" s="7">
        <f t="shared" si="18"/>
        <v>0.11999999999989086</v>
      </c>
      <c r="F43" s="7">
        <f t="shared" si="18"/>
        <v>0.4800000000000182</v>
      </c>
      <c r="G43" s="7">
        <f t="shared" si="18"/>
        <v>-0.22000000000002728</v>
      </c>
      <c r="H43" s="7">
        <f t="shared" si="18"/>
        <v>0.31999999999993634</v>
      </c>
      <c r="I43" s="7">
        <f t="shared" si="18"/>
        <v>-0.3000000000001819</v>
      </c>
      <c r="J43" s="7">
        <f t="shared" si="18"/>
        <v>-0.42000000000007276</v>
      </c>
      <c r="K43" s="7">
        <f t="shared" si="18"/>
        <v>-0.3081361335312067</v>
      </c>
      <c r="L43" s="7">
        <f t="shared" si="18"/>
        <v>0.42000000000007276</v>
      </c>
      <c r="M43" s="7">
        <f t="shared" si="18"/>
        <v>-0.24272266359821515</v>
      </c>
      <c r="N43" s="7">
        <f t="shared" si="18"/>
        <v>0.07893839999951524</v>
      </c>
      <c r="O43" s="7">
        <f t="shared" si="18"/>
        <v>2306.6368982871995</v>
      </c>
      <c r="P43" s="7">
        <f t="shared" si="18"/>
        <v>4456.338752845037</v>
      </c>
    </row>
    <row r="44" spans="1:16" ht="10.5">
      <c r="A44" s="12">
        <f t="shared" si="12"/>
        <v>19</v>
      </c>
      <c r="B44" s="10" t="s">
        <v>36</v>
      </c>
      <c r="C44" s="1"/>
      <c r="D44" s="1">
        <f aca="true" t="shared" si="19" ref="D44:P44">0.66*(D27)</f>
        <v>1842.72</v>
      </c>
      <c r="E44" s="1">
        <f t="shared" si="19"/>
        <v>892.98</v>
      </c>
      <c r="F44" s="1">
        <f t="shared" si="19"/>
        <v>848.76</v>
      </c>
      <c r="G44" s="1">
        <f t="shared" si="19"/>
        <v>780.7800000000001</v>
      </c>
      <c r="H44" s="1">
        <f t="shared" si="19"/>
        <v>684.4200000000001</v>
      </c>
      <c r="I44" s="1">
        <f t="shared" si="19"/>
        <v>561</v>
      </c>
      <c r="J44" s="1">
        <f t="shared" si="19"/>
        <v>411.84000000000003</v>
      </c>
      <c r="K44" s="1">
        <f t="shared" si="19"/>
        <v>231.66000000000003</v>
      </c>
      <c r="L44" s="1">
        <f t="shared" si="19"/>
        <v>0</v>
      </c>
      <c r="M44" s="13">
        <f t="shared" si="19"/>
        <v>0</v>
      </c>
      <c r="N44" s="1">
        <f t="shared" si="19"/>
        <v>0</v>
      </c>
      <c r="O44" s="1">
        <f t="shared" si="19"/>
        <v>0</v>
      </c>
      <c r="P44" s="1">
        <f t="shared" si="19"/>
        <v>0</v>
      </c>
    </row>
    <row r="45" spans="1:16" ht="10.5">
      <c r="A45" s="12">
        <f t="shared" si="12"/>
        <v>20</v>
      </c>
      <c r="B45" s="12" t="s">
        <v>37</v>
      </c>
      <c r="C45" s="13"/>
      <c r="D45" s="13">
        <f aca="true" t="shared" si="20" ref="D45:L45">-D39</f>
        <v>12018</v>
      </c>
      <c r="E45" s="13">
        <f t="shared" si="20"/>
        <v>592</v>
      </c>
      <c r="F45" s="13">
        <f t="shared" si="20"/>
        <v>918</v>
      </c>
      <c r="G45" s="13">
        <f t="shared" si="20"/>
        <v>1281</v>
      </c>
      <c r="H45" s="13">
        <f t="shared" si="20"/>
        <v>1592</v>
      </c>
      <c r="I45" s="13">
        <f t="shared" si="20"/>
        <v>1946</v>
      </c>
      <c r="J45" s="13">
        <f t="shared" si="20"/>
        <v>2342</v>
      </c>
      <c r="K45" s="13">
        <f t="shared" si="20"/>
        <v>2515</v>
      </c>
      <c r="L45" s="13">
        <f t="shared" si="20"/>
        <v>0</v>
      </c>
      <c r="M45" s="13"/>
      <c r="N45" s="13"/>
      <c r="O45" s="13"/>
      <c r="P45" s="13"/>
    </row>
    <row r="46" spans="1:16" ht="10.5">
      <c r="A46" s="12">
        <f t="shared" si="12"/>
        <v>21</v>
      </c>
      <c r="B46" s="10" t="s">
        <v>38</v>
      </c>
      <c r="C46" s="13"/>
      <c r="D46" s="13"/>
      <c r="E46" s="13"/>
      <c r="F46" s="13"/>
      <c r="G46" s="13"/>
      <c r="H46" s="13"/>
      <c r="I46" s="13"/>
      <c r="J46" s="13"/>
      <c r="K46" s="13">
        <f aca="true" t="shared" si="21" ref="K46:P46">-K41</f>
        <v>281.528136133531</v>
      </c>
      <c r="L46" s="13">
        <f t="shared" si="21"/>
        <v>3330.96</v>
      </c>
      <c r="M46" s="13">
        <f t="shared" si="21"/>
        <v>3339.468</v>
      </c>
      <c r="N46" s="13">
        <f t="shared" si="21"/>
        <v>0</v>
      </c>
      <c r="O46" s="13">
        <f t="shared" si="21"/>
        <v>0</v>
      </c>
      <c r="P46" s="13">
        <f t="shared" si="21"/>
        <v>0</v>
      </c>
    </row>
    <row r="47" spans="1:16" ht="10.5">
      <c r="A47" s="12">
        <f t="shared" si="12"/>
        <v>22</v>
      </c>
      <c r="B47" s="10" t="s">
        <v>39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>
        <f>-M42</f>
        <v>325.33472266359786</v>
      </c>
      <c r="N47" s="13">
        <f>-N42</f>
        <v>3859.776</v>
      </c>
      <c r="O47" s="13">
        <f>-O42</f>
        <v>1839.024</v>
      </c>
      <c r="P47" s="13">
        <f>-P42</f>
        <v>0</v>
      </c>
    </row>
    <row r="48" spans="1:16" s="8" customFormat="1" ht="10.5">
      <c r="A48" s="12">
        <f t="shared" si="12"/>
        <v>23</v>
      </c>
      <c r="B48" s="8" t="s">
        <v>40</v>
      </c>
      <c r="C48" s="7"/>
      <c r="D48" s="7">
        <f aca="true" t="shared" si="22" ref="D48:P48">D43+D44+D45+D46+D47</f>
        <v>13860.720000000001</v>
      </c>
      <c r="E48" s="7">
        <f t="shared" si="22"/>
        <v>1485.1</v>
      </c>
      <c r="F48" s="7">
        <f t="shared" si="22"/>
        <v>1767.24</v>
      </c>
      <c r="G48" s="7">
        <f t="shared" si="22"/>
        <v>2061.56</v>
      </c>
      <c r="H48" s="7">
        <f t="shared" si="22"/>
        <v>2276.74</v>
      </c>
      <c r="I48" s="7">
        <f t="shared" si="22"/>
        <v>2506.7</v>
      </c>
      <c r="J48" s="7">
        <f t="shared" si="22"/>
        <v>2753.42</v>
      </c>
      <c r="K48" s="7">
        <f t="shared" si="22"/>
        <v>3027.8799999999997</v>
      </c>
      <c r="L48" s="7">
        <f t="shared" si="22"/>
        <v>3331.38</v>
      </c>
      <c r="M48" s="7">
        <f t="shared" si="22"/>
        <v>3664.5599999999995</v>
      </c>
      <c r="N48" s="7">
        <f t="shared" si="22"/>
        <v>3859.8549383999994</v>
      </c>
      <c r="O48" s="7">
        <f t="shared" si="22"/>
        <v>4145.660898287199</v>
      </c>
      <c r="P48" s="7">
        <f t="shared" si="22"/>
        <v>4456.338752845037</v>
      </c>
    </row>
    <row r="49" spans="2:13" ht="10.5"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3:16" ht="10.5" customHeight="1" thickBot="1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7" ht="10.5" customHeight="1">
      <c r="A51" s="25"/>
      <c r="B51" s="26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8"/>
    </row>
    <row r="52" spans="1:17" s="9" customFormat="1" ht="10.5">
      <c r="A52" s="29"/>
      <c r="B52" s="30" t="s">
        <v>41</v>
      </c>
      <c r="C52" s="16">
        <v>1988</v>
      </c>
      <c r="D52" s="16">
        <f aca="true" t="shared" si="23" ref="D52:P52">C52+1</f>
        <v>1989</v>
      </c>
      <c r="E52" s="16">
        <f t="shared" si="23"/>
        <v>1990</v>
      </c>
      <c r="F52" s="16">
        <f t="shared" si="23"/>
        <v>1991</v>
      </c>
      <c r="G52" s="16">
        <f t="shared" si="23"/>
        <v>1992</v>
      </c>
      <c r="H52" s="16">
        <f t="shared" si="23"/>
        <v>1993</v>
      </c>
      <c r="I52" s="16">
        <f t="shared" si="23"/>
        <v>1994</v>
      </c>
      <c r="J52" s="16">
        <f t="shared" si="23"/>
        <v>1995</v>
      </c>
      <c r="K52" s="16">
        <f t="shared" si="23"/>
        <v>1996</v>
      </c>
      <c r="L52" s="16">
        <f t="shared" si="23"/>
        <v>1997</v>
      </c>
      <c r="M52" s="16">
        <f t="shared" si="23"/>
        <v>1998</v>
      </c>
      <c r="N52" s="16">
        <f t="shared" si="23"/>
        <v>1999</v>
      </c>
      <c r="O52" s="16">
        <f t="shared" si="23"/>
        <v>2000</v>
      </c>
      <c r="P52" s="16">
        <f t="shared" si="23"/>
        <v>2001</v>
      </c>
      <c r="Q52" s="31"/>
    </row>
    <row r="53" spans="1:17" ht="10.5">
      <c r="A53" s="32">
        <v>1</v>
      </c>
      <c r="B53" s="12" t="s">
        <v>42</v>
      </c>
      <c r="C53" s="13"/>
      <c r="D53" s="13">
        <f aca="true" t="shared" si="24" ref="D53:P53">D43+D46+D47</f>
        <v>4.547473508864641E-13</v>
      </c>
      <c r="E53" s="13">
        <f t="shared" si="24"/>
        <v>0.11999999999989086</v>
      </c>
      <c r="F53" s="13">
        <f t="shared" si="24"/>
        <v>0.4800000000000182</v>
      </c>
      <c r="G53" s="13">
        <f t="shared" si="24"/>
        <v>-0.22000000000002728</v>
      </c>
      <c r="H53" s="13">
        <f t="shared" si="24"/>
        <v>0.31999999999993634</v>
      </c>
      <c r="I53" s="13">
        <f t="shared" si="24"/>
        <v>-0.3000000000001819</v>
      </c>
      <c r="J53" s="13">
        <f t="shared" si="24"/>
        <v>-0.42000000000007276</v>
      </c>
      <c r="K53" s="13">
        <f t="shared" si="24"/>
        <v>281.2199999999998</v>
      </c>
      <c r="L53" s="13">
        <f t="shared" si="24"/>
        <v>3331.38</v>
      </c>
      <c r="M53" s="13">
        <f t="shared" si="24"/>
        <v>3664.5599999999995</v>
      </c>
      <c r="N53" s="13">
        <f t="shared" si="24"/>
        <v>3859.8549383999994</v>
      </c>
      <c r="O53" s="13">
        <f t="shared" si="24"/>
        <v>4145.660898287199</v>
      </c>
      <c r="P53" s="13">
        <f t="shared" si="24"/>
        <v>4456.338752845037</v>
      </c>
      <c r="Q53" s="33"/>
    </row>
    <row r="54" spans="1:17" ht="10.5">
      <c r="A54" s="32">
        <v>2</v>
      </c>
      <c r="B54" s="12" t="s">
        <v>43</v>
      </c>
      <c r="C54" s="13"/>
      <c r="D54" s="17">
        <v>0.085</v>
      </c>
      <c r="E54" s="17">
        <v>0.085</v>
      </c>
      <c r="F54" s="17">
        <v>0.085</v>
      </c>
      <c r="G54" s="17">
        <v>0.085</v>
      </c>
      <c r="H54" s="17">
        <v>0.085</v>
      </c>
      <c r="I54" s="17">
        <v>0.085</v>
      </c>
      <c r="J54" s="17">
        <v>0.085</v>
      </c>
      <c r="K54" s="17">
        <v>0.085</v>
      </c>
      <c r="L54" s="17">
        <v>0.085</v>
      </c>
      <c r="M54" s="17">
        <v>0.085</v>
      </c>
      <c r="N54" s="17">
        <v>0.085</v>
      </c>
      <c r="O54" s="17">
        <v>0.085</v>
      </c>
      <c r="P54" s="17">
        <v>0.085</v>
      </c>
      <c r="Q54" s="33"/>
    </row>
    <row r="55" spans="1:17" ht="10.5">
      <c r="A55" s="32">
        <v>3</v>
      </c>
      <c r="B55" s="12" t="s">
        <v>44</v>
      </c>
      <c r="C55" s="13"/>
      <c r="D55" s="17">
        <v>0.08</v>
      </c>
      <c r="E55" s="17">
        <v>0.08</v>
      </c>
      <c r="F55" s="17">
        <v>0.08</v>
      </c>
      <c r="G55" s="17">
        <v>0.08</v>
      </c>
      <c r="H55" s="17">
        <v>0.08</v>
      </c>
      <c r="I55" s="17">
        <v>0.08</v>
      </c>
      <c r="J55" s="17">
        <v>0.08</v>
      </c>
      <c r="K55" s="17">
        <v>0.08</v>
      </c>
      <c r="L55" s="17">
        <v>0.08</v>
      </c>
      <c r="M55" s="17">
        <v>0.08</v>
      </c>
      <c r="N55" s="17">
        <v>0.08</v>
      </c>
      <c r="O55" s="17">
        <v>0.08</v>
      </c>
      <c r="P55" s="17">
        <v>0.08</v>
      </c>
      <c r="Q55" s="33"/>
    </row>
    <row r="56" spans="1:17" ht="10.5">
      <c r="A56" s="32">
        <v>4</v>
      </c>
      <c r="B56" s="12" t="s">
        <v>45</v>
      </c>
      <c r="C56" s="13"/>
      <c r="D56" s="34">
        <v>0.65</v>
      </c>
      <c r="E56" s="34">
        <v>0.65</v>
      </c>
      <c r="F56" s="34">
        <v>0.65</v>
      </c>
      <c r="G56" s="34">
        <v>0.65</v>
      </c>
      <c r="H56" s="34">
        <v>0.65</v>
      </c>
      <c r="I56" s="34">
        <v>0.65</v>
      </c>
      <c r="J56" s="34">
        <v>0.65</v>
      </c>
      <c r="K56" s="34">
        <v>0.65</v>
      </c>
      <c r="L56" s="34">
        <v>0.65</v>
      </c>
      <c r="M56" s="34">
        <v>0.65</v>
      </c>
      <c r="N56" s="34">
        <v>0.65</v>
      </c>
      <c r="O56" s="34">
        <v>0.65</v>
      </c>
      <c r="P56" s="34">
        <v>0.65</v>
      </c>
      <c r="Q56" s="33"/>
    </row>
    <row r="57" spans="1:17" ht="10.5">
      <c r="A57" s="32">
        <v>5</v>
      </c>
      <c r="B57" s="12" t="s">
        <v>46</v>
      </c>
      <c r="C57" s="13"/>
      <c r="D57" s="34">
        <f>(D66-D54)/D55</f>
        <v>0.4415510256852266</v>
      </c>
      <c r="E57" s="34">
        <f aca="true" t="shared" si="25" ref="E57:L57">(E66-E54)/E55</f>
        <v>0.44943456105846574</v>
      </c>
      <c r="F57" s="34">
        <f t="shared" si="25"/>
        <v>0.45486832169152336</v>
      </c>
      <c r="G57" s="34">
        <f t="shared" si="25"/>
        <v>0.46576581231914</v>
      </c>
      <c r="H57" s="34">
        <f t="shared" si="25"/>
        <v>0.4815738534842167</v>
      </c>
      <c r="I57" s="34">
        <f t="shared" si="25"/>
        <v>0.4993109657504041</v>
      </c>
      <c r="J57" s="34">
        <f t="shared" si="25"/>
        <v>0.543429586164299</v>
      </c>
      <c r="K57" s="34">
        <f t="shared" si="25"/>
        <v>0.6820328031809144</v>
      </c>
      <c r="L57" s="34">
        <f t="shared" si="25"/>
        <v>0.6820328031809144</v>
      </c>
      <c r="M57" s="34"/>
      <c r="N57" s="34"/>
      <c r="O57" s="34"/>
      <c r="P57" s="34"/>
      <c r="Q57" s="33"/>
    </row>
    <row r="58" spans="1:17" ht="10.5">
      <c r="A58" s="32">
        <v>6</v>
      </c>
      <c r="B58" s="12" t="s">
        <v>47</v>
      </c>
      <c r="C58" s="13"/>
      <c r="D58" s="34">
        <f aca="true" t="shared" si="26" ref="D58:P58">(D56*(C62+C63*0.66))/C62</f>
        <v>1.6117244590468909</v>
      </c>
      <c r="E58" s="34">
        <f t="shared" si="26"/>
        <v>1.0319144835463423</v>
      </c>
      <c r="F58" s="34">
        <f t="shared" si="26"/>
        <v>0.9597976874731943</v>
      </c>
      <c r="G58" s="34">
        <f t="shared" si="26"/>
        <v>0.8935571995664163</v>
      </c>
      <c r="H58" s="34">
        <f t="shared" si="26"/>
        <v>0.8327179105436087</v>
      </c>
      <c r="I58" s="34">
        <f t="shared" si="26"/>
        <v>0.7785756660714984</v>
      </c>
      <c r="J58" s="34">
        <f t="shared" si="26"/>
        <v>0.7300109999459995</v>
      </c>
      <c r="K58" s="34">
        <f t="shared" si="26"/>
        <v>0.6862338878826866</v>
      </c>
      <c r="L58" s="34">
        <f t="shared" si="26"/>
        <v>0.65</v>
      </c>
      <c r="M58" s="34">
        <f t="shared" si="26"/>
        <v>0.65</v>
      </c>
      <c r="N58" s="34">
        <f t="shared" si="26"/>
        <v>0.65</v>
      </c>
      <c r="O58" s="34">
        <f t="shared" si="26"/>
        <v>0.65</v>
      </c>
      <c r="P58" s="34">
        <f t="shared" si="26"/>
        <v>0.65</v>
      </c>
      <c r="Q58" s="33"/>
    </row>
    <row r="59" spans="1:17" ht="10.5">
      <c r="A59" s="32">
        <v>7</v>
      </c>
      <c r="B59" s="12" t="s">
        <v>48</v>
      </c>
      <c r="C59" s="13"/>
      <c r="D59" s="18">
        <f aca="true" t="shared" si="27" ref="D59:P59">D54+D55*D58</f>
        <v>0.21393795672375127</v>
      </c>
      <c r="E59" s="18">
        <f t="shared" si="27"/>
        <v>0.1675531586837074</v>
      </c>
      <c r="F59" s="18">
        <f t="shared" si="27"/>
        <v>0.16178381499785555</v>
      </c>
      <c r="G59" s="18">
        <f t="shared" si="27"/>
        <v>0.15648457596531332</v>
      </c>
      <c r="H59" s="18">
        <f t="shared" si="27"/>
        <v>0.15161743284348872</v>
      </c>
      <c r="I59" s="18">
        <f t="shared" si="27"/>
        <v>0.14728605328571986</v>
      </c>
      <c r="J59" s="18">
        <f t="shared" si="27"/>
        <v>0.14340087999567996</v>
      </c>
      <c r="K59" s="18">
        <f t="shared" si="27"/>
        <v>0.13989871103061494</v>
      </c>
      <c r="L59" s="18">
        <f t="shared" si="27"/>
        <v>0.137</v>
      </c>
      <c r="M59" s="18">
        <f t="shared" si="27"/>
        <v>0.137</v>
      </c>
      <c r="N59" s="18">
        <f t="shared" si="27"/>
        <v>0.137</v>
      </c>
      <c r="O59" s="18">
        <f t="shared" si="27"/>
        <v>0.137</v>
      </c>
      <c r="P59" s="18">
        <f t="shared" si="27"/>
        <v>0.137</v>
      </c>
      <c r="Q59" s="33"/>
    </row>
    <row r="60" spans="1:17" ht="10.5" hidden="1">
      <c r="A60" s="32"/>
      <c r="B60" s="12" t="s">
        <v>49</v>
      </c>
      <c r="C60" s="13"/>
      <c r="D60" s="13">
        <f>(1+D59)</f>
        <v>1.2139379567237514</v>
      </c>
      <c r="E60" s="13">
        <f aca="true" t="shared" si="28" ref="E60:P60">(1+E59)*D60</f>
        <v>1.4173370958188616</v>
      </c>
      <c r="F60" s="13">
        <f t="shared" si="28"/>
        <v>1.6466392983184184</v>
      </c>
      <c r="G60" s="13">
        <f t="shared" si="28"/>
        <v>1.9043129506835972</v>
      </c>
      <c r="H60" s="13">
        <f t="shared" si="28"/>
        <v>2.1930399915968533</v>
      </c>
      <c r="I60" s="13">
        <f t="shared" si="28"/>
        <v>2.516044196656902</v>
      </c>
      <c r="J60" s="13">
        <f t="shared" si="28"/>
        <v>2.8768471485655254</v>
      </c>
      <c r="K60" s="13">
        <f t="shared" si="28"/>
        <v>3.2793143564819425</v>
      </c>
      <c r="L60" s="13">
        <f t="shared" si="28"/>
        <v>3.7285804233199684</v>
      </c>
      <c r="M60" s="13">
        <f t="shared" si="28"/>
        <v>4.239395941314804</v>
      </c>
      <c r="N60" s="13">
        <f t="shared" si="28"/>
        <v>4.820193185274932</v>
      </c>
      <c r="O60" s="13">
        <f t="shared" si="28"/>
        <v>5.480559651657598</v>
      </c>
      <c r="P60" s="13">
        <f t="shared" si="28"/>
        <v>6.231396323934688</v>
      </c>
      <c r="Q60" s="33"/>
    </row>
    <row r="61" spans="1:17" ht="10.5" hidden="1">
      <c r="A61" s="32"/>
      <c r="B61" s="12" t="s">
        <v>50</v>
      </c>
      <c r="C61" s="13"/>
      <c r="D61" s="13">
        <f aca="true" t="shared" si="29" ref="D61:O61">(D43+D46+D47)/D60</f>
        <v>3.7460510100018915E-13</v>
      </c>
      <c r="E61" s="13">
        <f t="shared" si="29"/>
        <v>0.08466581475493046</v>
      </c>
      <c r="F61" s="13">
        <f t="shared" si="29"/>
        <v>0.29150282061785115</v>
      </c>
      <c r="G61" s="13">
        <f t="shared" si="29"/>
        <v>-0.11552722987104257</v>
      </c>
      <c r="H61" s="13">
        <f t="shared" si="29"/>
        <v>0.14591617171875176</v>
      </c>
      <c r="I61" s="13">
        <f t="shared" si="29"/>
        <v>-0.11923478943605025</v>
      </c>
      <c r="J61" s="13">
        <f t="shared" si="29"/>
        <v>-0.14599315789491848</v>
      </c>
      <c r="K61" s="13">
        <f t="shared" si="29"/>
        <v>85.7557310552238</v>
      </c>
      <c r="L61" s="13">
        <f t="shared" si="29"/>
        <v>893.4714078216672</v>
      </c>
      <c r="M61" s="13">
        <f t="shared" si="29"/>
        <v>864.4061679370941</v>
      </c>
      <c r="N61" s="13">
        <f t="shared" si="29"/>
        <v>800.7676850362259</v>
      </c>
      <c r="O61" s="13">
        <f t="shared" si="29"/>
        <v>756.4302118367314</v>
      </c>
      <c r="P61" s="13">
        <f>(P43+P46+P47+Q61)/P60</f>
        <v>6949.721895173989</v>
      </c>
      <c r="Q61" s="33">
        <f>P43*1.02/(P59-0.02)</f>
        <v>38850.13271711057</v>
      </c>
    </row>
    <row r="62" spans="1:17" ht="10.5">
      <c r="A62" s="32">
        <v>8</v>
      </c>
      <c r="B62" s="12" t="s">
        <v>51</v>
      </c>
      <c r="C62" s="14">
        <f>SUM(D61:P61)</f>
        <v>10350.69442849082</v>
      </c>
      <c r="D62" s="13">
        <f aca="true" t="shared" si="30" ref="D62:P62">C62*(1+D59)-(D53)</f>
        <v>12565.100845194063</v>
      </c>
      <c r="E62" s="13">
        <f t="shared" si="30"/>
        <v>14670.303180985651</v>
      </c>
      <c r="F62" s="13">
        <f t="shared" si="30"/>
        <v>17043.240796780687</v>
      </c>
      <c r="G62" s="13">
        <f t="shared" si="30"/>
        <v>19710.465105939642</v>
      </c>
      <c r="H62" s="13">
        <f t="shared" si="30"/>
        <v>22698.595225453373</v>
      </c>
      <c r="I62" s="13">
        <f t="shared" si="30"/>
        <v>26042.081731340484</v>
      </c>
      <c r="J62" s="13">
        <f t="shared" si="30"/>
        <v>29776.959168534137</v>
      </c>
      <c r="K62" s="13">
        <f t="shared" si="30"/>
        <v>33661.49737462331</v>
      </c>
      <c r="L62" s="13">
        <f t="shared" si="30"/>
        <v>34941.7425149467</v>
      </c>
      <c r="M62" s="13">
        <f t="shared" si="30"/>
        <v>36064.2012394944</v>
      </c>
      <c r="N62" s="13">
        <f t="shared" si="30"/>
        <v>37145.141870905136</v>
      </c>
      <c r="O62" s="13">
        <f t="shared" si="30"/>
        <v>38088.36540893194</v>
      </c>
      <c r="P62" s="13">
        <f t="shared" si="30"/>
        <v>38850.13271711058</v>
      </c>
      <c r="Q62" s="33"/>
    </row>
    <row r="63" spans="1:17" ht="10.5">
      <c r="A63" s="32">
        <v>9</v>
      </c>
      <c r="B63" s="12" t="s">
        <v>52</v>
      </c>
      <c r="C63" s="13">
        <f aca="true" t="shared" si="31" ref="C63:P63">C8+C9</f>
        <v>23204</v>
      </c>
      <c r="D63" s="13">
        <f t="shared" si="31"/>
        <v>11186</v>
      </c>
      <c r="E63" s="13">
        <f t="shared" si="31"/>
        <v>10594</v>
      </c>
      <c r="F63" s="13">
        <f t="shared" si="31"/>
        <v>9676</v>
      </c>
      <c r="G63" s="13">
        <f t="shared" si="31"/>
        <v>8395</v>
      </c>
      <c r="H63" s="13">
        <f t="shared" si="31"/>
        <v>6803</v>
      </c>
      <c r="I63" s="13">
        <f t="shared" si="31"/>
        <v>4857</v>
      </c>
      <c r="J63" s="13">
        <f t="shared" si="31"/>
        <v>2515</v>
      </c>
      <c r="K63" s="13">
        <f t="shared" si="31"/>
        <v>0</v>
      </c>
      <c r="L63" s="13">
        <f t="shared" si="31"/>
        <v>0</v>
      </c>
      <c r="M63" s="13">
        <f t="shared" si="31"/>
        <v>0</v>
      </c>
      <c r="N63" s="13">
        <f t="shared" si="31"/>
        <v>0</v>
      </c>
      <c r="O63" s="13">
        <f t="shared" si="31"/>
        <v>0</v>
      </c>
      <c r="P63" s="13">
        <f t="shared" si="31"/>
        <v>0</v>
      </c>
      <c r="Q63" s="33"/>
    </row>
    <row r="64" spans="1:17" s="6" customFormat="1" ht="10.5">
      <c r="A64" s="32">
        <v>10</v>
      </c>
      <c r="B64" s="6" t="s">
        <v>53</v>
      </c>
      <c r="C64" s="14">
        <f aca="true" t="shared" si="32" ref="C64:P64">C62+C63</f>
        <v>33554.694428490824</v>
      </c>
      <c r="D64" s="5">
        <f t="shared" si="32"/>
        <v>23751.100845194065</v>
      </c>
      <c r="E64" s="5">
        <f t="shared" si="32"/>
        <v>25264.30318098565</v>
      </c>
      <c r="F64" s="5">
        <f t="shared" si="32"/>
        <v>26719.240796780687</v>
      </c>
      <c r="G64" s="5">
        <f t="shared" si="32"/>
        <v>28105.465105939642</v>
      </c>
      <c r="H64" s="5">
        <f t="shared" si="32"/>
        <v>29501.595225453373</v>
      </c>
      <c r="I64" s="5">
        <f t="shared" si="32"/>
        <v>30899.081731340484</v>
      </c>
      <c r="J64" s="5">
        <f t="shared" si="32"/>
        <v>32291.959168534137</v>
      </c>
      <c r="K64" s="5">
        <f t="shared" si="32"/>
        <v>33661.49737462331</v>
      </c>
      <c r="L64" s="5">
        <f t="shared" si="32"/>
        <v>34941.7425149467</v>
      </c>
      <c r="M64" s="5">
        <f t="shared" si="32"/>
        <v>36064.2012394944</v>
      </c>
      <c r="N64" s="5">
        <f t="shared" si="32"/>
        <v>37145.141870905136</v>
      </c>
      <c r="O64" s="5">
        <f t="shared" si="32"/>
        <v>38088.36540893194</v>
      </c>
      <c r="P64" s="5">
        <f t="shared" si="32"/>
        <v>38850.13271711058</v>
      </c>
      <c r="Q64" s="35"/>
    </row>
    <row r="65" spans="1:17" ht="10.5">
      <c r="A65" s="32"/>
      <c r="B65" s="12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33"/>
    </row>
    <row r="66" spans="1:17" ht="10.5">
      <c r="A66" s="32"/>
      <c r="B66" s="12" t="s">
        <v>54</v>
      </c>
      <c r="C66" s="13"/>
      <c r="D66" s="18">
        <f aca="true" t="shared" si="33" ref="D66:K66">D27/(C8+C9)</f>
        <v>0.12032408205481814</v>
      </c>
      <c r="E66" s="18">
        <f t="shared" si="33"/>
        <v>0.12095476488467727</v>
      </c>
      <c r="F66" s="18">
        <f t="shared" si="33"/>
        <v>0.12138946573532187</v>
      </c>
      <c r="G66" s="18">
        <f t="shared" si="33"/>
        <v>0.1222612649855312</v>
      </c>
      <c r="H66" s="18">
        <f t="shared" si="33"/>
        <v>0.12352590827873734</v>
      </c>
      <c r="I66" s="18">
        <f t="shared" si="33"/>
        <v>0.12494487726003234</v>
      </c>
      <c r="J66" s="18">
        <f t="shared" si="33"/>
        <v>0.12847436689314393</v>
      </c>
      <c r="K66" s="18">
        <f t="shared" si="33"/>
        <v>0.13956262425447316</v>
      </c>
      <c r="L66" s="18">
        <f>K66</f>
        <v>0.13956262425447316</v>
      </c>
      <c r="M66" s="18">
        <v>0</v>
      </c>
      <c r="N66" s="18">
        <v>0</v>
      </c>
      <c r="O66" s="18">
        <v>0</v>
      </c>
      <c r="P66" s="18">
        <v>0</v>
      </c>
      <c r="Q66" s="33"/>
    </row>
    <row r="67" spans="1:17" ht="11.25" thickBot="1">
      <c r="A67" s="32">
        <v>11</v>
      </c>
      <c r="B67" s="12" t="s">
        <v>55</v>
      </c>
      <c r="C67" s="13"/>
      <c r="D67" s="18">
        <f aca="true" t="shared" si="34" ref="D67:P67">(D59*C62+D66*0.66*C63)/(C62+C63)</f>
        <v>0.12091084379711689</v>
      </c>
      <c r="E67" s="18">
        <f t="shared" si="34"/>
        <v>0.12623845754914895</v>
      </c>
      <c r="F67" s="18">
        <f t="shared" si="34"/>
        <v>0.12753874875203763</v>
      </c>
      <c r="G67" s="18">
        <f t="shared" si="34"/>
        <v>0.12903751028638386</v>
      </c>
      <c r="H67" s="18">
        <f t="shared" si="34"/>
        <v>0.13068170569920684</v>
      </c>
      <c r="I67" s="18">
        <f t="shared" si="34"/>
        <v>0.13233814904079017</v>
      </c>
      <c r="J67" s="18">
        <f t="shared" si="34"/>
        <v>0.13418837081453194</v>
      </c>
      <c r="K67" s="18">
        <f t="shared" si="34"/>
        <v>0.13617687868174008</v>
      </c>
      <c r="L67" s="18">
        <f t="shared" si="34"/>
        <v>0.137</v>
      </c>
      <c r="M67" s="18">
        <f t="shared" si="34"/>
        <v>0.137</v>
      </c>
      <c r="N67" s="18">
        <f t="shared" si="34"/>
        <v>0.137</v>
      </c>
      <c r="O67" s="18">
        <f t="shared" si="34"/>
        <v>0.137</v>
      </c>
      <c r="P67" s="18">
        <f t="shared" si="34"/>
        <v>0.137</v>
      </c>
      <c r="Q67" s="33"/>
    </row>
    <row r="68" spans="1:17" ht="11.25" hidden="1" thickBot="1">
      <c r="A68" s="32"/>
      <c r="B68" s="12" t="s">
        <v>56</v>
      </c>
      <c r="C68" s="13"/>
      <c r="D68" s="13">
        <f>(1+D67)</f>
        <v>1.120910843797117</v>
      </c>
      <c r="E68" s="13">
        <f aca="true" t="shared" si="35" ref="E68:P68">(1+E67)*D68</f>
        <v>1.2624128997681798</v>
      </c>
      <c r="F68" s="13">
        <f t="shared" si="35"/>
        <v>1.423419461413045</v>
      </c>
      <c r="G68" s="13">
        <f t="shared" si="35"/>
        <v>1.60709396480697</v>
      </c>
      <c r="H68" s="13">
        <f t="shared" si="35"/>
        <v>1.817111745346846</v>
      </c>
      <c r="I68" s="13">
        <f t="shared" si="35"/>
        <v>2.0575849503263273</v>
      </c>
      <c r="J68" s="13">
        <f t="shared" si="35"/>
        <v>2.3336889226231166</v>
      </c>
      <c r="K68" s="13">
        <f t="shared" si="35"/>
        <v>2.6514833959200854</v>
      </c>
      <c r="L68" s="13">
        <f t="shared" si="35"/>
        <v>3.0147366211611373</v>
      </c>
      <c r="M68" s="13">
        <f t="shared" si="35"/>
        <v>3.427755538260213</v>
      </c>
      <c r="N68" s="13">
        <f t="shared" si="35"/>
        <v>3.8973580470018625</v>
      </c>
      <c r="O68" s="13">
        <f t="shared" si="35"/>
        <v>4.431296099441118</v>
      </c>
      <c r="P68" s="13">
        <f t="shared" si="35"/>
        <v>5.0383836650645515</v>
      </c>
      <c r="Q68" s="33"/>
    </row>
    <row r="69" spans="1:17" ht="11.25" hidden="1" thickBot="1">
      <c r="A69" s="32"/>
      <c r="B69" s="12" t="s">
        <v>57</v>
      </c>
      <c r="C69" s="13"/>
      <c r="D69" s="13">
        <f aca="true" t="shared" si="36" ref="D69:O69">D48/D68</f>
        <v>12365.586501997272</v>
      </c>
      <c r="E69" s="13">
        <f t="shared" si="36"/>
        <v>1176.3979917131016</v>
      </c>
      <c r="F69" s="13">
        <f t="shared" si="36"/>
        <v>1241.5454810809179</v>
      </c>
      <c r="G69" s="13">
        <f t="shared" si="36"/>
        <v>1282.7874692738433</v>
      </c>
      <c r="H69" s="13">
        <f t="shared" si="36"/>
        <v>1252.9444079760879</v>
      </c>
      <c r="I69" s="13">
        <f t="shared" si="36"/>
        <v>1218.272907566924</v>
      </c>
      <c r="J69" s="13">
        <f t="shared" si="36"/>
        <v>1179.8573380144842</v>
      </c>
      <c r="K69" s="13">
        <f t="shared" si="36"/>
        <v>1141.9569908146839</v>
      </c>
      <c r="L69" s="13">
        <f t="shared" si="36"/>
        <v>1105.0318547286251</v>
      </c>
      <c r="M69" s="13">
        <f t="shared" si="36"/>
        <v>1069.0844078863274</v>
      </c>
      <c r="N69" s="13">
        <f t="shared" si="36"/>
        <v>990.3772996605448</v>
      </c>
      <c r="O69" s="13">
        <f t="shared" si="36"/>
        <v>935.5413868213539</v>
      </c>
      <c r="P69" s="13">
        <f>(P48+Q69)/P68</f>
        <v>8595.310390956653</v>
      </c>
      <c r="Q69" s="33">
        <f>P48*1.02/(P67-0.02)</f>
        <v>38850.13271711057</v>
      </c>
    </row>
    <row r="70" spans="1:17" s="6" customFormat="1" ht="11.25" thickBot="1">
      <c r="A70" s="32">
        <v>12</v>
      </c>
      <c r="B70" s="6" t="s">
        <v>58</v>
      </c>
      <c r="C70" s="24">
        <f>SUM(D69:P69)</f>
        <v>33554.69442849082</v>
      </c>
      <c r="D70" s="5">
        <f aca="true" t="shared" si="37" ref="D70:P70">C70*(1+D67)-D48</f>
        <v>23751.100845194058</v>
      </c>
      <c r="E70" s="5">
        <f t="shared" si="37"/>
        <v>25264.303180985644</v>
      </c>
      <c r="F70" s="5">
        <f t="shared" si="37"/>
        <v>26719.240796780676</v>
      </c>
      <c r="G70" s="5">
        <f t="shared" si="37"/>
        <v>28105.465105939627</v>
      </c>
      <c r="H70" s="5">
        <f t="shared" si="37"/>
        <v>29501.595225453362</v>
      </c>
      <c r="I70" s="5">
        <f t="shared" si="37"/>
        <v>30899.081731340473</v>
      </c>
      <c r="J70" s="5">
        <f t="shared" si="37"/>
        <v>32291.959168534122</v>
      </c>
      <c r="K70" s="5">
        <f t="shared" si="37"/>
        <v>33661.4973746233</v>
      </c>
      <c r="L70" s="5">
        <f t="shared" si="37"/>
        <v>34941.742514946694</v>
      </c>
      <c r="M70" s="5">
        <f t="shared" si="37"/>
        <v>36064.201239494396</v>
      </c>
      <c r="N70" s="5">
        <f t="shared" si="37"/>
        <v>37145.14187090513</v>
      </c>
      <c r="O70" s="5">
        <f t="shared" si="37"/>
        <v>38088.36540893193</v>
      </c>
      <c r="P70" s="5">
        <f t="shared" si="37"/>
        <v>38850.132717110566</v>
      </c>
      <c r="Q70" s="35"/>
    </row>
    <row r="71" spans="1:17" ht="10.5">
      <c r="A71" s="3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N71" s="12"/>
      <c r="O71" s="12"/>
      <c r="P71" s="12"/>
      <c r="Q71" s="33"/>
    </row>
    <row r="72" spans="1:17" ht="10.5">
      <c r="A72" s="32">
        <v>13</v>
      </c>
      <c r="B72" s="12" t="s">
        <v>59</v>
      </c>
      <c r="C72" s="13"/>
      <c r="D72" s="21">
        <f>D54+D55*D56</f>
        <v>0.137</v>
      </c>
      <c r="E72" s="21">
        <f aca="true" t="shared" si="38" ref="E72:P72">E54+E55*E56</f>
        <v>0.137</v>
      </c>
      <c r="F72" s="21">
        <f t="shared" si="38"/>
        <v>0.137</v>
      </c>
      <c r="G72" s="21">
        <f t="shared" si="38"/>
        <v>0.137</v>
      </c>
      <c r="H72" s="21">
        <f t="shared" si="38"/>
        <v>0.137</v>
      </c>
      <c r="I72" s="21">
        <f t="shared" si="38"/>
        <v>0.137</v>
      </c>
      <c r="J72" s="21">
        <f t="shared" si="38"/>
        <v>0.137</v>
      </c>
      <c r="K72" s="21">
        <f t="shared" si="38"/>
        <v>0.137</v>
      </c>
      <c r="L72" s="21">
        <f t="shared" si="38"/>
        <v>0.137</v>
      </c>
      <c r="M72" s="21">
        <f t="shared" si="38"/>
        <v>0.137</v>
      </c>
      <c r="N72" s="21">
        <f t="shared" si="38"/>
        <v>0.137</v>
      </c>
      <c r="O72" s="21">
        <f t="shared" si="38"/>
        <v>0.137</v>
      </c>
      <c r="P72" s="21">
        <f t="shared" si="38"/>
        <v>0.137</v>
      </c>
      <c r="Q72" s="36">
        <f>P72</f>
        <v>0.137</v>
      </c>
    </row>
    <row r="73" spans="1:17" ht="10.5">
      <c r="A73" s="32">
        <v>14</v>
      </c>
      <c r="B73" s="12" t="s">
        <v>40</v>
      </c>
      <c r="C73" s="13"/>
      <c r="D73" s="22">
        <f aca="true" t="shared" si="39" ref="D73:P73">D48</f>
        <v>13860.720000000001</v>
      </c>
      <c r="E73" s="22">
        <f t="shared" si="39"/>
        <v>1485.1</v>
      </c>
      <c r="F73" s="22">
        <f t="shared" si="39"/>
        <v>1767.24</v>
      </c>
      <c r="G73" s="22">
        <f t="shared" si="39"/>
        <v>2061.56</v>
      </c>
      <c r="H73" s="22">
        <f t="shared" si="39"/>
        <v>2276.74</v>
      </c>
      <c r="I73" s="22">
        <f t="shared" si="39"/>
        <v>2506.7</v>
      </c>
      <c r="J73" s="22">
        <f t="shared" si="39"/>
        <v>2753.42</v>
      </c>
      <c r="K73" s="22">
        <f t="shared" si="39"/>
        <v>3027.8799999999997</v>
      </c>
      <c r="L73" s="22">
        <f t="shared" si="39"/>
        <v>3331.38</v>
      </c>
      <c r="M73" s="22">
        <f t="shared" si="39"/>
        <v>3664.5599999999995</v>
      </c>
      <c r="N73" s="22">
        <f t="shared" si="39"/>
        <v>3859.8549383999994</v>
      </c>
      <c r="O73" s="22">
        <f t="shared" si="39"/>
        <v>4145.660898287199</v>
      </c>
      <c r="P73" s="22">
        <f t="shared" si="39"/>
        <v>4456.338752845037</v>
      </c>
      <c r="Q73" s="33">
        <f>P73*1.02/(P72-0.02)*(1+P72)</f>
        <v>44172.60089935472</v>
      </c>
    </row>
    <row r="74" spans="1:17" ht="10.5">
      <c r="A74" s="32">
        <v>15</v>
      </c>
      <c r="B74" s="6" t="s">
        <v>60</v>
      </c>
      <c r="C74" s="14">
        <f>NPV(D72,D73:$Q73)</f>
        <v>32390.252464507208</v>
      </c>
      <c r="D74" s="5">
        <f>NPV(E72,E73:$Q73)</f>
        <v>22966.997052144692</v>
      </c>
      <c r="E74" s="5">
        <f>NPV(F72,F73:$Q73)</f>
        <v>24628.375648288515</v>
      </c>
      <c r="F74" s="5">
        <f>NPV(G72,G73:$Q73)</f>
        <v>26235.223112104042</v>
      </c>
      <c r="G74" s="5">
        <f>NPV(H72,H73:$Q73)</f>
        <v>27767.888678462296</v>
      </c>
      <c r="H74" s="5">
        <f>NPV(I72,I73:$Q73)</f>
        <v>29295.34942741163</v>
      </c>
      <c r="I74" s="5">
        <f>NPV(J72,J73:$Q73)</f>
        <v>30802.11229896703</v>
      </c>
      <c r="J74" s="5">
        <f>NPV(K72,K73:$Q73)</f>
        <v>32268.58168392551</v>
      </c>
      <c r="K74" s="5">
        <f>NPV(L72,L73:$Q73)</f>
        <v>33661.49737462331</v>
      </c>
      <c r="L74" s="5">
        <f>NPV(M72,M73:$Q73)</f>
        <v>34941.742514946694</v>
      </c>
      <c r="M74" s="5">
        <f>NPV(N72,N73:$Q73)</f>
        <v>36064.201239494396</v>
      </c>
      <c r="N74" s="5">
        <f>NPV(O72,O73:$Q73)</f>
        <v>37145.141870905136</v>
      </c>
      <c r="O74" s="5">
        <f>NPV(P72,P73:$Q73)</f>
        <v>38088.36540893193</v>
      </c>
      <c r="P74" s="5">
        <f>NPV(Q72,Q73:$Q73)</f>
        <v>38850.13271711057</v>
      </c>
      <c r="Q74" s="33"/>
    </row>
    <row r="75" spans="1:17" ht="10.5" hidden="1">
      <c r="A75" s="32">
        <v>16</v>
      </c>
      <c r="B75" s="12" t="s">
        <v>61</v>
      </c>
      <c r="C75" s="23"/>
      <c r="D75" s="13">
        <f aca="true" t="shared" si="40" ref="D75:P75">C63*0.34*D72</f>
        <v>1080.8423200000002</v>
      </c>
      <c r="E75" s="13">
        <f t="shared" si="40"/>
        <v>521.0438800000001</v>
      </c>
      <c r="F75" s="13">
        <f t="shared" si="40"/>
        <v>493.46852000000007</v>
      </c>
      <c r="G75" s="13">
        <f t="shared" si="40"/>
        <v>450.70808000000005</v>
      </c>
      <c r="H75" s="13">
        <f t="shared" si="40"/>
        <v>391.0391000000001</v>
      </c>
      <c r="I75" s="13">
        <f t="shared" si="40"/>
        <v>316.88374000000005</v>
      </c>
      <c r="J75" s="13">
        <f t="shared" si="40"/>
        <v>226.23906000000002</v>
      </c>
      <c r="K75" s="13">
        <f t="shared" si="40"/>
        <v>117.1487</v>
      </c>
      <c r="L75" s="13">
        <f t="shared" si="40"/>
        <v>0</v>
      </c>
      <c r="M75" s="13">
        <f t="shared" si="40"/>
        <v>0</v>
      </c>
      <c r="N75" s="13">
        <f t="shared" si="40"/>
        <v>0</v>
      </c>
      <c r="O75" s="13">
        <f t="shared" si="40"/>
        <v>0</v>
      </c>
      <c r="P75" s="13">
        <f t="shared" si="40"/>
        <v>0</v>
      </c>
      <c r="Q75" s="33"/>
    </row>
    <row r="76" spans="1:17" ht="10.5" hidden="1">
      <c r="A76" s="32">
        <v>17</v>
      </c>
      <c r="B76" s="6" t="s">
        <v>62</v>
      </c>
      <c r="C76" s="14">
        <f>NPV(D72,D75:$N75)</f>
        <v>2445.552118296151</v>
      </c>
      <c r="D76" s="5">
        <f>NPV(E72,E75:$N75)</f>
        <v>1699.7504385027235</v>
      </c>
      <c r="E76" s="5">
        <f>NPV(F72,F75:$N75)</f>
        <v>1411.572368577597</v>
      </c>
      <c r="F76" s="5">
        <f>NPV(G72,G75:$N75)</f>
        <v>1111.4892630727275</v>
      </c>
      <c r="G76" s="5">
        <f>NPV(H72,H75:$N75)</f>
        <v>813.0552121136914</v>
      </c>
      <c r="H76" s="5">
        <f>NPV(I72,I75:$N75)</f>
        <v>533.404676173267</v>
      </c>
      <c r="I76" s="5">
        <f>NPV(J72,J75:$N75)</f>
        <v>289.5973768090046</v>
      </c>
      <c r="J76" s="5">
        <f>NPV(K72,K75:$N75)</f>
        <v>103.03315743183818</v>
      </c>
      <c r="K76" s="5">
        <f>NPV(L72,L75:$N75)</f>
        <v>0</v>
      </c>
      <c r="L76" s="5">
        <f>NPV(M72,M75:$N75)</f>
        <v>0</v>
      </c>
      <c r="M76" s="5">
        <f>NPV(N72,N75:$N75)</f>
        <v>0</v>
      </c>
      <c r="N76" s="5">
        <f>NPV(O72,$N75:O75)</f>
        <v>0</v>
      </c>
      <c r="O76" s="5">
        <f>NPV(P72,$N75:P75)</f>
        <v>0</v>
      </c>
      <c r="P76" s="5">
        <f>NPV(Q72,$N75:Q75)</f>
        <v>0</v>
      </c>
      <c r="Q76" s="33"/>
    </row>
    <row r="77" spans="1:17" ht="10.5" hidden="1">
      <c r="A77" s="32">
        <v>18</v>
      </c>
      <c r="B77" s="6" t="s">
        <v>63</v>
      </c>
      <c r="C77" s="20">
        <f>C74+C76</f>
        <v>34835.80458280336</v>
      </c>
      <c r="D77" s="5">
        <f aca="true" t="shared" si="41" ref="D77:P77">D74+D76</f>
        <v>24666.747490647416</v>
      </c>
      <c r="E77" s="5">
        <f t="shared" si="41"/>
        <v>26039.94801686611</v>
      </c>
      <c r="F77" s="5">
        <f t="shared" si="41"/>
        <v>27346.71237517677</v>
      </c>
      <c r="G77" s="5">
        <f t="shared" si="41"/>
        <v>28580.943890575985</v>
      </c>
      <c r="H77" s="5">
        <f t="shared" si="41"/>
        <v>29828.7541035849</v>
      </c>
      <c r="I77" s="5">
        <f t="shared" si="41"/>
        <v>31091.709675776034</v>
      </c>
      <c r="J77" s="5">
        <f t="shared" si="41"/>
        <v>32371.614841357346</v>
      </c>
      <c r="K77" s="5">
        <f t="shared" si="41"/>
        <v>33661.49737462331</v>
      </c>
      <c r="L77" s="5">
        <f t="shared" si="41"/>
        <v>34941.742514946694</v>
      </c>
      <c r="M77" s="5">
        <f t="shared" si="41"/>
        <v>36064.201239494396</v>
      </c>
      <c r="N77" s="5">
        <f t="shared" si="41"/>
        <v>37145.141870905136</v>
      </c>
      <c r="O77" s="5">
        <f t="shared" si="41"/>
        <v>38088.36540893193</v>
      </c>
      <c r="P77" s="5">
        <f t="shared" si="41"/>
        <v>38850.13271711057</v>
      </c>
      <c r="Q77" s="33"/>
    </row>
    <row r="78" spans="1:17" ht="10.5">
      <c r="A78" s="32"/>
      <c r="B78" s="16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16"/>
      <c r="O78" s="12"/>
      <c r="P78" s="12"/>
      <c r="Q78" s="33"/>
    </row>
    <row r="79" spans="1:17" ht="10.5">
      <c r="A79" s="32">
        <v>19</v>
      </c>
      <c r="B79" s="12" t="s">
        <v>64</v>
      </c>
      <c r="C79" s="13"/>
      <c r="D79" s="13">
        <f aca="true" t="shared" si="42" ref="D79:P79">D53+D27+D45</f>
        <v>14810</v>
      </c>
      <c r="E79" s="13">
        <f t="shared" si="42"/>
        <v>1945.12</v>
      </c>
      <c r="F79" s="13">
        <f t="shared" si="42"/>
        <v>2204.48</v>
      </c>
      <c r="G79" s="13">
        <f t="shared" si="42"/>
        <v>2463.7799999999997</v>
      </c>
      <c r="H79" s="13">
        <f t="shared" si="42"/>
        <v>2629.3199999999997</v>
      </c>
      <c r="I79" s="13">
        <f t="shared" si="42"/>
        <v>2795.7</v>
      </c>
      <c r="J79" s="13">
        <f t="shared" si="42"/>
        <v>2965.58</v>
      </c>
      <c r="K79" s="13">
        <f t="shared" si="42"/>
        <v>3147.22</v>
      </c>
      <c r="L79" s="13">
        <f t="shared" si="42"/>
        <v>3331.38</v>
      </c>
      <c r="M79" s="13">
        <f t="shared" si="42"/>
        <v>3664.5599999999995</v>
      </c>
      <c r="N79" s="13">
        <f t="shared" si="42"/>
        <v>3859.8549383999994</v>
      </c>
      <c r="O79" s="13">
        <f t="shared" si="42"/>
        <v>4145.660898287199</v>
      </c>
      <c r="P79" s="13">
        <f t="shared" si="42"/>
        <v>4456.338752845037</v>
      </c>
      <c r="Q79" s="33">
        <f>P79*1.02/(P80-0.02)</f>
        <v>38850.13271711057</v>
      </c>
    </row>
    <row r="80" spans="1:17" ht="14.25" thickBot="1">
      <c r="A80" s="32">
        <v>20</v>
      </c>
      <c r="B80" s="12" t="s">
        <v>65</v>
      </c>
      <c r="C80" s="13"/>
      <c r="D80" s="18">
        <f aca="true" t="shared" si="43" ref="D80:P80">(C62*D59+C63*D66)/C64</f>
        <v>0.14920137113370263</v>
      </c>
      <c r="E80" s="18">
        <f t="shared" si="43"/>
        <v>0.1456068229566447</v>
      </c>
      <c r="F80" s="18">
        <f t="shared" si="43"/>
        <v>0.14484538083556464</v>
      </c>
      <c r="G80" s="18">
        <f t="shared" si="43"/>
        <v>0.14409108172051163</v>
      </c>
      <c r="H80" s="18">
        <f t="shared" si="43"/>
        <v>0.14322659683233696</v>
      </c>
      <c r="I80" s="18">
        <f t="shared" si="43"/>
        <v>0.14213422948293034</v>
      </c>
      <c r="J80" s="18">
        <f t="shared" si="43"/>
        <v>0.14105459427853895</v>
      </c>
      <c r="K80" s="18">
        <f t="shared" si="43"/>
        <v>0.13987253552860884</v>
      </c>
      <c r="L80" s="18">
        <f t="shared" si="43"/>
        <v>0.137</v>
      </c>
      <c r="M80" s="18">
        <f t="shared" si="43"/>
        <v>0.137</v>
      </c>
      <c r="N80" s="18">
        <f t="shared" si="43"/>
        <v>0.137</v>
      </c>
      <c r="O80" s="18">
        <f t="shared" si="43"/>
        <v>0.137</v>
      </c>
      <c r="P80" s="18">
        <f t="shared" si="43"/>
        <v>0.137</v>
      </c>
      <c r="Q80" s="33"/>
    </row>
    <row r="81" spans="1:17" ht="14.25" hidden="1" thickBot="1">
      <c r="A81" s="32"/>
      <c r="B81" s="12" t="s">
        <v>66</v>
      </c>
      <c r="C81" s="13"/>
      <c r="D81" s="13">
        <f>(1+D80)</f>
        <v>1.1492013711337026</v>
      </c>
      <c r="E81" s="13">
        <f aca="true" t="shared" si="44" ref="E81:P81">(1+E80)*D81</f>
        <v>1.316532931721901</v>
      </c>
      <c r="F81" s="13">
        <f t="shared" si="44"/>
        <v>1.507226645599722</v>
      </c>
      <c r="G81" s="13">
        <f t="shared" si="44"/>
        <v>1.7244045633621643</v>
      </c>
      <c r="H81" s="13">
        <f t="shared" si="44"/>
        <v>1.971385160534679</v>
      </c>
      <c r="I81" s="13">
        <f t="shared" si="44"/>
        <v>2.251586471341359</v>
      </c>
      <c r="J81" s="13">
        <f t="shared" si="44"/>
        <v>2.5691830875394612</v>
      </c>
      <c r="K81" s="13">
        <f t="shared" si="44"/>
        <v>2.9285412402308255</v>
      </c>
      <c r="L81" s="13">
        <f t="shared" si="44"/>
        <v>3.3297513901424485</v>
      </c>
      <c r="M81" s="13">
        <f t="shared" si="44"/>
        <v>3.785927330591964</v>
      </c>
      <c r="N81" s="13">
        <f t="shared" si="44"/>
        <v>4.304599374883063</v>
      </c>
      <c r="O81" s="13">
        <f t="shared" si="44"/>
        <v>4.894329489242042</v>
      </c>
      <c r="P81" s="13">
        <f t="shared" si="44"/>
        <v>5.564852629268202</v>
      </c>
      <c r="Q81" s="33"/>
    </row>
    <row r="82" spans="1:17" ht="11.25" hidden="1" thickBot="1">
      <c r="A82" s="32"/>
      <c r="B82" s="12" t="s">
        <v>67</v>
      </c>
      <c r="C82" s="13"/>
      <c r="D82" s="13">
        <f>D79/D81</f>
        <v>12887.210520284827</v>
      </c>
      <c r="E82" s="13">
        <f aca="true" t="shared" si="45" ref="E82:O82">E79/E81</f>
        <v>1477.456395607185</v>
      </c>
      <c r="F82" s="13">
        <f t="shared" si="45"/>
        <v>1462.6068391478327</v>
      </c>
      <c r="G82" s="13">
        <f t="shared" si="45"/>
        <v>1428.7714451394372</v>
      </c>
      <c r="H82" s="13">
        <f t="shared" si="45"/>
        <v>1333.7424125110465</v>
      </c>
      <c r="I82" s="13">
        <f t="shared" si="45"/>
        <v>1241.6578424076652</v>
      </c>
      <c r="J82" s="13">
        <f t="shared" si="45"/>
        <v>1154.2890868241598</v>
      </c>
      <c r="K82" s="13">
        <f t="shared" si="45"/>
        <v>1074.6715657492118</v>
      </c>
      <c r="L82" s="13">
        <f t="shared" si="45"/>
        <v>1000.4891085449722</v>
      </c>
      <c r="M82" s="13">
        <f t="shared" si="45"/>
        <v>967.9425091941773</v>
      </c>
      <c r="N82" s="13">
        <f t="shared" si="45"/>
        <v>896.6815729523853</v>
      </c>
      <c r="O82" s="13">
        <f t="shared" si="45"/>
        <v>847.0334715714481</v>
      </c>
      <c r="P82" s="13">
        <f>(P79+Q79)/P81</f>
        <v>7782.141658556475</v>
      </c>
      <c r="Q82" s="33"/>
    </row>
    <row r="83" spans="1:17" ht="14.25" thickBot="1">
      <c r="A83" s="32">
        <v>21</v>
      </c>
      <c r="B83" s="6" t="s">
        <v>68</v>
      </c>
      <c r="C83" s="24">
        <f>SUM(D82:P82)</f>
        <v>33554.694428490824</v>
      </c>
      <c r="D83" s="5">
        <f>C83*(1+D80)-D79</f>
        <v>23751.100845194065</v>
      </c>
      <c r="E83" s="5">
        <f aca="true" t="shared" si="46" ref="E83:P83">D83*(1+E80)-E79</f>
        <v>25264.303180985655</v>
      </c>
      <c r="F83" s="5">
        <f t="shared" si="46"/>
        <v>26719.240796780687</v>
      </c>
      <c r="G83" s="5">
        <f t="shared" si="46"/>
        <v>28105.465105939642</v>
      </c>
      <c r="H83" s="5">
        <f t="shared" si="46"/>
        <v>29501.595225453373</v>
      </c>
      <c r="I83" s="5">
        <f t="shared" si="46"/>
        <v>30899.081731340488</v>
      </c>
      <c r="J83" s="5">
        <f t="shared" si="46"/>
        <v>32291.95916853413</v>
      </c>
      <c r="K83" s="5">
        <f t="shared" si="46"/>
        <v>33661.4973746233</v>
      </c>
      <c r="L83" s="5">
        <f t="shared" si="46"/>
        <v>34941.742514946694</v>
      </c>
      <c r="M83" s="5">
        <f t="shared" si="46"/>
        <v>36064.201239494396</v>
      </c>
      <c r="N83" s="5">
        <f t="shared" si="46"/>
        <v>37145.14187090513</v>
      </c>
      <c r="O83" s="5">
        <f t="shared" si="46"/>
        <v>38088.36540893193</v>
      </c>
      <c r="P83" s="5">
        <f t="shared" si="46"/>
        <v>38850.132717110566</v>
      </c>
      <c r="Q83" s="33"/>
    </row>
    <row r="84" spans="1:17" ht="10.5">
      <c r="A84" s="32"/>
      <c r="B84" s="6" t="s">
        <v>69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N84" s="12"/>
      <c r="O84" s="12"/>
      <c r="P84" s="12"/>
      <c r="Q84" s="33"/>
    </row>
    <row r="85" spans="1:17" ht="11.25" thickBot="1">
      <c r="A85" s="37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38"/>
    </row>
  </sheetData>
  <printOptions/>
  <pageMargins left="0.7480314960629921" right="0.3937007874015748" top="0.7874015748031497" bottom="0.7874015748031497" header="0.5" footer="0.5"/>
  <pageSetup orientation="portrait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AVillanueva</cp:lastModifiedBy>
  <dcterms:created xsi:type="dcterms:W3CDTF">2001-07-09T14:31:15Z</dcterms:created>
  <dcterms:modified xsi:type="dcterms:W3CDTF">2005-02-18T15:36:28Z</dcterms:modified>
  <cp:category/>
  <cp:version/>
  <cp:contentType/>
  <cp:contentStatus/>
</cp:coreProperties>
</file>