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5.5" sheetId="1" r:id="rId1"/>
  </sheets>
  <definedNames/>
  <calcPr fullCalcOnLoad="1"/>
</workbook>
</file>

<file path=xl/sharedStrings.xml><?xml version="1.0" encoding="utf-8"?>
<sst xmlns="http://schemas.openxmlformats.org/spreadsheetml/2006/main" count="105" uniqueCount="51">
  <si>
    <t>kellogg</t>
  </si>
  <si>
    <t>Nopat/V</t>
  </si>
  <si>
    <t>Valor de la marca ($ millones)</t>
  </si>
  <si>
    <t>E / V</t>
  </si>
  <si>
    <t>(E+D) / V</t>
  </si>
  <si>
    <t>Ventas 1994 ($ millones)</t>
  </si>
  <si>
    <t>Valor de la empresa ($ millones)</t>
  </si>
  <si>
    <t>Valor de la marca / valor empresa</t>
  </si>
  <si>
    <t>Ventas 1992 ($ millones)</t>
  </si>
  <si>
    <t>Valor de las acciones ($ millones)</t>
  </si>
  <si>
    <t>g del genérico</t>
  </si>
  <si>
    <t>Genérico</t>
  </si>
  <si>
    <t>ROA</t>
  </si>
  <si>
    <t>g</t>
  </si>
  <si>
    <t>n (años)</t>
  </si>
  <si>
    <t>Ke</t>
  </si>
  <si>
    <t>E/(D+E)</t>
  </si>
  <si>
    <t>Kd</t>
  </si>
  <si>
    <t>WACC</t>
  </si>
  <si>
    <t>T</t>
  </si>
  <si>
    <t>NOPAT / V</t>
  </si>
  <si>
    <t>Diferencia</t>
  </si>
  <si>
    <t>Kellogg</t>
  </si>
  <si>
    <t>Coca-Cola</t>
  </si>
  <si>
    <t>Valor de la marca (millones de dólares)</t>
  </si>
  <si>
    <t>BFO / V</t>
  </si>
  <si>
    <t>p (payout)</t>
  </si>
  <si>
    <t>Valor de las acciones (millones de dólares)</t>
  </si>
  <si>
    <t>Valor de la marca / valor de las acciones</t>
  </si>
  <si>
    <t>Valor de la marca Coca-Cola 1993</t>
  </si>
  <si>
    <t>ROE</t>
  </si>
  <si>
    <t>FCF</t>
  </si>
  <si>
    <t>V/Evc</t>
  </si>
  <si>
    <t>(AF+NOF) / V</t>
  </si>
  <si>
    <r>
      <t>p</t>
    </r>
    <r>
      <rPr>
        <sz val="9"/>
        <rFont val="Arial Narrow"/>
        <family val="0"/>
      </rPr>
      <t>n (payout tras n)</t>
    </r>
  </si>
  <si>
    <r>
      <t>g</t>
    </r>
    <r>
      <rPr>
        <sz val="9"/>
        <rFont val="Arial Narrow"/>
        <family val="0"/>
      </rPr>
      <t>n</t>
    </r>
  </si>
  <si>
    <t>genérico</t>
  </si>
  <si>
    <t>CFac</t>
  </si>
  <si>
    <t>Ventas</t>
  </si>
  <si>
    <t>Valor de la marca Kellogg 1995</t>
  </si>
  <si>
    <t>Ventas 1997 (millones de dólares)</t>
  </si>
  <si>
    <t>Valor de la marca Coca-Cola 1998</t>
  </si>
  <si>
    <t>kellog</t>
  </si>
  <si>
    <t>ventas</t>
  </si>
  <si>
    <t>previstas</t>
  </si>
  <si>
    <t>reales</t>
  </si>
  <si>
    <t>beneficio</t>
  </si>
  <si>
    <t>previsto</t>
  </si>
  <si>
    <t>real</t>
  </si>
  <si>
    <t>BFO/V</t>
  </si>
  <si>
    <t>NOPAT/V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</si>
</sst>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%"/>
    <numFmt numFmtId="188" formatCode="0.0"/>
    <numFmt numFmtId="189" formatCode="0.000000000"/>
  </numFmts>
  <fonts count="15">
    <font>
      <sz val="10"/>
      <name val="Arial"/>
      <family val="0"/>
    </font>
    <font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9"/>
      <name val="Tms Rmn"/>
      <family val="0"/>
    </font>
    <font>
      <sz val="8"/>
      <name val="Tms Rmn"/>
      <family val="0"/>
    </font>
    <font>
      <sz val="9"/>
      <name val="Arial Narrow"/>
      <family val="0"/>
    </font>
    <font>
      <sz val="10"/>
      <name val="Arial Narrow"/>
      <family val="0"/>
    </font>
    <font>
      <b/>
      <sz val="10"/>
      <name val="Arial Narrow"/>
      <family val="0"/>
    </font>
    <font>
      <sz val="10"/>
      <name val="Tms Rmn"/>
      <family val="0"/>
    </font>
    <font>
      <i/>
      <sz val="9"/>
      <name val="Tms Rmn"/>
      <family val="0"/>
    </font>
    <font>
      <i/>
      <sz val="9"/>
      <name val="Arial Narrow"/>
      <family val="0"/>
    </font>
    <font>
      <b/>
      <sz val="9"/>
      <name val="Arial Narrow"/>
      <family val="0"/>
    </font>
    <font>
      <b/>
      <sz val="10"/>
      <name val="Tms Rmn"/>
      <family val="0"/>
    </font>
    <font>
      <b/>
      <sz val="9"/>
      <name val="Tms Rmn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7" fillId="0" borderId="2" xfId="0" applyFont="1" applyBorder="1" applyAlignment="1">
      <alignment/>
    </xf>
    <xf numFmtId="10" fontId="7" fillId="0" borderId="3" xfId="21" applyNumberFormat="1" applyFont="1" applyBorder="1" applyAlignment="1">
      <alignment/>
    </xf>
    <xf numFmtId="10" fontId="7" fillId="0" borderId="0" xfId="21" applyNumberFormat="1" applyFont="1" applyBorder="1" applyAlignment="1">
      <alignment/>
    </xf>
    <xf numFmtId="0" fontId="7" fillId="0" borderId="3" xfId="0" applyFont="1" applyBorder="1" applyAlignment="1">
      <alignment/>
    </xf>
    <xf numFmtId="2" fontId="7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/>
    </xf>
    <xf numFmtId="10" fontId="11" fillId="0" borderId="1" xfId="21" applyNumberFormat="1" applyFont="1" applyBorder="1" applyAlignment="1">
      <alignment/>
    </xf>
    <xf numFmtId="10" fontId="11" fillId="0" borderId="0" xfId="21" applyNumberFormat="1" applyFont="1" applyBorder="1" applyAlignment="1">
      <alignment/>
    </xf>
    <xf numFmtId="0" fontId="11" fillId="0" borderId="2" xfId="0" applyFont="1" applyBorder="1" applyAlignment="1">
      <alignment/>
    </xf>
    <xf numFmtId="10" fontId="11" fillId="0" borderId="3" xfId="21" applyNumberFormat="1" applyFont="1" applyBorder="1" applyAlignment="1">
      <alignment/>
    </xf>
    <xf numFmtId="0" fontId="11" fillId="0" borderId="5" xfId="0" applyFont="1" applyBorder="1" applyAlignment="1">
      <alignment/>
    </xf>
    <xf numFmtId="10" fontId="11" fillId="0" borderId="6" xfId="21" applyNumberFormat="1" applyFont="1" applyBorder="1" applyAlignment="1">
      <alignment/>
    </xf>
    <xf numFmtId="0" fontId="7" fillId="0" borderId="5" xfId="0" applyFont="1" applyBorder="1" applyAlignment="1">
      <alignment/>
    </xf>
    <xf numFmtId="10" fontId="7" fillId="0" borderId="6" xfId="21" applyNumberFormat="1" applyFont="1" applyBorder="1" applyAlignment="1">
      <alignment/>
    </xf>
    <xf numFmtId="0" fontId="7" fillId="0" borderId="4" xfId="0" applyFont="1" applyBorder="1" applyAlignment="1">
      <alignment/>
    </xf>
    <xf numFmtId="10" fontId="7" fillId="0" borderId="1" xfId="21" applyNumberFormat="1" applyFont="1" applyBorder="1" applyAlignment="1">
      <alignment/>
    </xf>
    <xf numFmtId="0" fontId="7" fillId="0" borderId="0" xfId="0" applyFont="1" applyBorder="1" applyAlignment="1">
      <alignment/>
    </xf>
    <xf numFmtId="187" fontId="7" fillId="0" borderId="3" xfId="21" applyNumberFormat="1" applyFont="1" applyBorder="1" applyAlignment="1">
      <alignment/>
    </xf>
    <xf numFmtId="9" fontId="6" fillId="0" borderId="3" xfId="21" applyFont="1" applyBorder="1" applyAlignment="1">
      <alignment/>
    </xf>
    <xf numFmtId="10" fontId="6" fillId="0" borderId="3" xfId="21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7" xfId="0" applyFont="1" applyFill="1" applyBorder="1" applyAlignment="1">
      <alignment/>
    </xf>
    <xf numFmtId="2" fontId="8" fillId="0" borderId="7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7" fillId="0" borderId="9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11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180" fontId="7" fillId="0" borderId="15" xfId="21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11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4" xfId="0" applyFont="1" applyBorder="1" applyAlignment="1">
      <alignment/>
    </xf>
    <xf numFmtId="180" fontId="6" fillId="0" borderId="15" xfId="21" applyNumberFormat="1" applyFont="1" applyBorder="1" applyAlignment="1">
      <alignment/>
    </xf>
    <xf numFmtId="10" fontId="6" fillId="0" borderId="0" xfId="21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9" fontId="4" fillId="0" borderId="3" xfId="21" applyFont="1" applyBorder="1" applyAlignment="1">
      <alignment/>
    </xf>
    <xf numFmtId="180" fontId="14" fillId="0" borderId="3" xfId="21" applyNumberFormat="1" applyFont="1" applyBorder="1" applyAlignment="1">
      <alignment/>
    </xf>
    <xf numFmtId="3" fontId="14" fillId="0" borderId="16" xfId="0" applyNumberFormat="1" applyFont="1" applyBorder="1" applyAlignment="1">
      <alignment horizontal="center"/>
    </xf>
    <xf numFmtId="9" fontId="4" fillId="0" borderId="17" xfId="0" applyNumberFormat="1" applyFont="1" applyBorder="1" applyAlignment="1">
      <alignment/>
    </xf>
    <xf numFmtId="9" fontId="4" fillId="0" borderId="18" xfId="0" applyNumberFormat="1" applyFont="1" applyBorder="1" applyAlignment="1">
      <alignment/>
    </xf>
    <xf numFmtId="10" fontId="14" fillId="0" borderId="18" xfId="0" applyNumberFormat="1" applyFont="1" applyBorder="1" applyAlignment="1">
      <alignment/>
    </xf>
    <xf numFmtId="9" fontId="4" fillId="0" borderId="19" xfId="0" applyNumberFormat="1" applyFont="1" applyBorder="1" applyAlignment="1">
      <alignment/>
    </xf>
    <xf numFmtId="9" fontId="4" fillId="0" borderId="0" xfId="21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9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0" fontId="14" fillId="0" borderId="0" xfId="21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0" fontId="14" fillId="0" borderId="21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9" fontId="4" fillId="0" borderId="23" xfId="0" applyNumberFormat="1" applyFont="1" applyBorder="1" applyAlignment="1">
      <alignment horizontal="center"/>
    </xf>
    <xf numFmtId="9" fontId="4" fillId="0" borderId="0" xfId="21" applyFont="1" applyAlignment="1">
      <alignment/>
    </xf>
    <xf numFmtId="1" fontId="6" fillId="0" borderId="0" xfId="0" applyNumberFormat="1" applyFont="1" applyAlignment="1">
      <alignment/>
    </xf>
    <xf numFmtId="10" fontId="6" fillId="0" borderId="0" xfId="21" applyNumberFormat="1" applyFont="1" applyAlignment="1">
      <alignment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9" fontId="4" fillId="0" borderId="2" xfId="21" applyFont="1" applyBorder="1" applyAlignment="1">
      <alignment horizontal="center"/>
    </xf>
    <xf numFmtId="9" fontId="4" fillId="0" borderId="14" xfId="21" applyFont="1" applyBorder="1" applyAlignment="1">
      <alignment horizontal="center"/>
    </xf>
    <xf numFmtId="9" fontId="4" fillId="0" borderId="15" xfId="2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325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'35.5'!$B$43</c:f>
              <c:strCache>
                <c:ptCount val="1"/>
                <c:pt idx="0">
                  <c:v>previstas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'35.5'!$A$44:$A$50</c:f>
              <c:numCache/>
            </c:numRef>
          </c:cat>
          <c:val>
            <c:numRef>
              <c:f>'35.5'!$B$44:$B$50</c:f>
              <c:numCache/>
            </c:numRef>
          </c:val>
          <c:smooth val="0"/>
        </c:ser>
        <c:ser>
          <c:idx val="1"/>
          <c:order val="1"/>
          <c:tx>
            <c:strRef>
              <c:f>'35.5'!$C$43</c:f>
              <c:strCache>
                <c:ptCount val="1"/>
                <c:pt idx="0">
                  <c:v>reales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'35.5'!$A$44:$A$50</c:f>
              <c:numCache/>
            </c:numRef>
          </c:cat>
          <c:val>
            <c:numRef>
              <c:f>'35.5'!$C$44:$C$50</c:f>
              <c:numCache/>
            </c:numRef>
          </c:val>
          <c:smooth val="0"/>
        </c:ser>
        <c:axId val="41956050"/>
        <c:axId val="42060131"/>
      </c:lineChart>
      <c:catAx>
        <c:axId val="4195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2060131"/>
        <c:crosses val="autoZero"/>
        <c:auto val="1"/>
        <c:lblOffset val="100"/>
        <c:noMultiLvlLbl val="0"/>
      </c:catAx>
      <c:valAx>
        <c:axId val="42060131"/>
        <c:scaling>
          <c:orientation val="minMax"/>
          <c:min val="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95605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75"/>
          <c:y val="0"/>
          <c:w val="0.3605"/>
          <c:h val="0.27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'35.5'!$D$43</c:f>
              <c:strCache>
                <c:ptCount val="1"/>
                <c:pt idx="0">
                  <c:v>previsto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'35.5'!$A$44:$A$50</c:f>
              <c:numCache/>
            </c:numRef>
          </c:cat>
          <c:val>
            <c:numRef>
              <c:f>'35.5'!$D$44:$D$50</c:f>
              <c:numCache/>
            </c:numRef>
          </c:val>
          <c:smooth val="0"/>
        </c:ser>
        <c:ser>
          <c:idx val="1"/>
          <c:order val="1"/>
          <c:tx>
            <c:strRef>
              <c:f>'35.5'!$E$43</c:f>
              <c:strCache>
                <c:ptCount val="1"/>
                <c:pt idx="0">
                  <c:v>real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'35.5'!$A$44:$A$50</c:f>
              <c:numCache/>
            </c:numRef>
          </c:cat>
          <c:val>
            <c:numRef>
              <c:f>'35.5'!$E$44:$E$50</c:f>
              <c:numCache/>
            </c:numRef>
          </c:val>
          <c:smooth val="0"/>
        </c:ser>
        <c:axId val="42996860"/>
        <c:axId val="51427421"/>
      </c:lineChart>
      <c:catAx>
        <c:axId val="42996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1427421"/>
        <c:crosses val="autoZero"/>
        <c:auto val="1"/>
        <c:lblOffset val="100"/>
        <c:noMultiLvlLbl val="0"/>
      </c:catAx>
      <c:valAx>
        <c:axId val="51427421"/>
        <c:scaling>
          <c:orientation val="minMax"/>
          <c:min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996860"/>
        <c:crossesAt val="1"/>
        <c:crossBetween val="midCat"/>
        <c:dispUnits/>
        <c:majorUnit val="3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525"/>
          <c:y val="0"/>
          <c:w val="0.33425"/>
          <c:h val="0.27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75"/>
          <c:w val="0.994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'35.5'!$H$43</c:f>
              <c:strCache>
                <c:ptCount val="1"/>
                <c:pt idx="0">
                  <c:v>previstas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'35.5'!$G$44:$G$52</c:f>
              <c:numCache/>
            </c:numRef>
          </c:cat>
          <c:val>
            <c:numRef>
              <c:f>'35.5'!$H$44:$H$52</c:f>
              <c:numCache/>
            </c:numRef>
          </c:val>
          <c:smooth val="0"/>
        </c:ser>
        <c:ser>
          <c:idx val="1"/>
          <c:order val="1"/>
          <c:tx>
            <c:strRef>
              <c:f>'35.5'!$I$43</c:f>
              <c:strCache>
                <c:ptCount val="1"/>
                <c:pt idx="0">
                  <c:v>reales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'35.5'!$G$44:$G$52</c:f>
              <c:numCache/>
            </c:numRef>
          </c:cat>
          <c:val>
            <c:numRef>
              <c:f>'35.5'!$I$44:$I$52</c:f>
              <c:numCache/>
            </c:numRef>
          </c:val>
          <c:smooth val="0"/>
        </c:ser>
        <c:axId val="60193606"/>
        <c:axId val="4871543"/>
      </c:lineChart>
      <c:catAx>
        <c:axId val="60193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871543"/>
        <c:crosses val="autoZero"/>
        <c:auto val="1"/>
        <c:lblOffset val="100"/>
        <c:noMultiLvlLbl val="0"/>
      </c:catAx>
      <c:valAx>
        <c:axId val="4871543"/>
        <c:scaling>
          <c:orientation val="minMax"/>
          <c:min val="1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19360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4"/>
          <c:y val="0"/>
          <c:w val="0.32925"/>
          <c:h val="0.26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'35.5'!$J$43</c:f>
              <c:strCache>
                <c:ptCount val="1"/>
                <c:pt idx="0">
                  <c:v>previsto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'35.5'!$G$44:$G$52</c:f>
              <c:numCache/>
            </c:numRef>
          </c:cat>
          <c:val>
            <c:numRef>
              <c:f>'35.5'!$J$44:$J$52</c:f>
              <c:numCache/>
            </c:numRef>
          </c:val>
          <c:smooth val="0"/>
        </c:ser>
        <c:ser>
          <c:idx val="1"/>
          <c:order val="1"/>
          <c:tx>
            <c:strRef>
              <c:f>'35.5'!$L$43</c:f>
              <c:strCache>
                <c:ptCount val="1"/>
                <c:pt idx="0">
                  <c:v>real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'35.5'!$G$44:$G$52</c:f>
              <c:numCache/>
            </c:numRef>
          </c:cat>
          <c:val>
            <c:numRef>
              <c:f>'35.5'!$L$44:$L$52</c:f>
              <c:numCache/>
            </c:numRef>
          </c:val>
          <c:smooth val="0"/>
        </c:ser>
        <c:axId val="43843888"/>
        <c:axId val="59050673"/>
      </c:lineChart>
      <c:catAx>
        <c:axId val="43843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9050673"/>
        <c:crosses val="autoZero"/>
        <c:auto val="1"/>
        <c:lblOffset val="100"/>
        <c:noMultiLvlLbl val="0"/>
      </c:catAx>
      <c:valAx>
        <c:axId val="59050673"/>
        <c:scaling>
          <c:orientation val="minMax"/>
          <c:min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84388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33425"/>
          <c:h val="0.26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-0.00775</cdr:y>
    </cdr:from>
    <cdr:to>
      <cdr:x>0.341</cdr:x>
      <cdr:y>0.165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57250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Ventas ($ millones)</a:t>
          </a:r>
        </a:p>
      </cdr:txBody>
    </cdr:sp>
  </cdr:relSizeAnchor>
  <cdr:relSizeAnchor xmlns:cdr="http://schemas.openxmlformats.org/drawingml/2006/chartDrawing">
    <cdr:from>
      <cdr:x>0.188</cdr:x>
      <cdr:y>0.17025</cdr:y>
    </cdr:from>
    <cdr:to>
      <cdr:x>0.34325</cdr:x>
      <cdr:y>0.32475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" y="171450"/>
          <a:ext cx="390525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Kellogg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-0.00775</cdr:y>
    </cdr:from>
    <cdr:to>
      <cdr:x>0.36275</cdr:x>
      <cdr:y>0.165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810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Beneficio ($ millones)</a:t>
          </a:r>
        </a:p>
      </cdr:txBody>
    </cdr:sp>
  </cdr:relSizeAnchor>
  <cdr:relSizeAnchor xmlns:cdr="http://schemas.openxmlformats.org/drawingml/2006/chartDrawing">
    <cdr:from>
      <cdr:x>0.09</cdr:x>
      <cdr:y>0.14725</cdr:y>
    </cdr:from>
    <cdr:to>
      <cdr:x>0.23075</cdr:x>
      <cdr:y>0.30175</cdr:y>
    </cdr:to>
    <cdr:sp>
      <cdr:nvSpPr>
        <cdr:cNvPr id="2" name="TextBox 2"/>
        <cdr:cNvSpPr txBox="1">
          <a:spLocks noChangeArrowheads="1"/>
        </cdr:cNvSpPr>
      </cdr:nvSpPr>
      <cdr:spPr>
        <a:xfrm>
          <a:off x="238125" y="152400"/>
          <a:ext cx="381000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Kellogg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-0.0075</cdr:y>
    </cdr:from>
    <cdr:to>
      <cdr:x>0.341</cdr:x>
      <cdr:y>0.16075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57250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Ventas ($ millones)</a:t>
          </a:r>
        </a:p>
      </cdr:txBody>
    </cdr:sp>
  </cdr:relSizeAnchor>
  <cdr:relSizeAnchor xmlns:cdr="http://schemas.openxmlformats.org/drawingml/2006/chartDrawing">
    <cdr:from>
      <cdr:x>0.169</cdr:x>
      <cdr:y>0.1655</cdr:y>
    </cdr:from>
    <cdr:to>
      <cdr:x>0.366</cdr:x>
      <cdr:y>0.316</cdr:y>
    </cdr:to>
    <cdr:sp>
      <cdr:nvSpPr>
        <cdr:cNvPr id="2" name="TextBox 2"/>
        <cdr:cNvSpPr txBox="1">
          <a:spLocks noChangeArrowheads="1"/>
        </cdr:cNvSpPr>
      </cdr:nvSpPr>
      <cdr:spPr>
        <a:xfrm>
          <a:off x="419100" y="171450"/>
          <a:ext cx="495300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Coca-Cola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-0.0075</cdr:y>
    </cdr:from>
    <cdr:to>
      <cdr:x>0.36275</cdr:x>
      <cdr:y>0.16075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810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Beneficio ($ millones)</a:t>
          </a:r>
        </a:p>
      </cdr:txBody>
    </cdr:sp>
  </cdr:relSizeAnchor>
  <cdr:relSizeAnchor xmlns:cdr="http://schemas.openxmlformats.org/drawingml/2006/chartDrawing">
    <cdr:from>
      <cdr:x>0.11625</cdr:x>
      <cdr:y>0.14275</cdr:y>
    </cdr:from>
    <cdr:to>
      <cdr:x>0.29925</cdr:x>
      <cdr:y>0.29325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" y="152400"/>
          <a:ext cx="495300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Coca-Cola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0</xdr:rowOff>
    </xdr:from>
    <xdr:to>
      <xdr:col>6</xdr:col>
      <xdr:colOff>561975</xdr:colOff>
      <xdr:row>64</xdr:row>
      <xdr:rowOff>0</xdr:rowOff>
    </xdr:to>
    <xdr:graphicFrame>
      <xdr:nvGraphicFramePr>
        <xdr:cNvPr id="1" name="Chart 5"/>
        <xdr:cNvGraphicFramePr/>
      </xdr:nvGraphicFramePr>
      <xdr:xfrm>
        <a:off x="171450" y="9134475"/>
        <a:ext cx="2514600" cy="104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54</xdr:row>
      <xdr:rowOff>9525</xdr:rowOff>
    </xdr:from>
    <xdr:to>
      <xdr:col>12</xdr:col>
      <xdr:colOff>400050</xdr:colOff>
      <xdr:row>64</xdr:row>
      <xdr:rowOff>9525</xdr:rowOff>
    </xdr:to>
    <xdr:graphicFrame>
      <xdr:nvGraphicFramePr>
        <xdr:cNvPr id="2" name="Chart 6"/>
        <xdr:cNvGraphicFramePr/>
      </xdr:nvGraphicFramePr>
      <xdr:xfrm>
        <a:off x="2647950" y="9144000"/>
        <a:ext cx="2705100" cy="104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6</xdr:col>
      <xdr:colOff>561975</xdr:colOff>
      <xdr:row>74</xdr:row>
      <xdr:rowOff>28575</xdr:rowOff>
    </xdr:to>
    <xdr:graphicFrame>
      <xdr:nvGraphicFramePr>
        <xdr:cNvPr id="3" name="Chart 7"/>
        <xdr:cNvGraphicFramePr/>
      </xdr:nvGraphicFramePr>
      <xdr:xfrm>
        <a:off x="171450" y="10182225"/>
        <a:ext cx="2514600" cy="1076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523875</xdr:colOff>
      <xdr:row>64</xdr:row>
      <xdr:rowOff>9525</xdr:rowOff>
    </xdr:from>
    <xdr:to>
      <xdr:col>12</xdr:col>
      <xdr:colOff>400050</xdr:colOff>
      <xdr:row>74</xdr:row>
      <xdr:rowOff>38100</xdr:rowOff>
    </xdr:to>
    <xdr:graphicFrame>
      <xdr:nvGraphicFramePr>
        <xdr:cNvPr id="4" name="Chart 8"/>
        <xdr:cNvGraphicFramePr/>
      </xdr:nvGraphicFramePr>
      <xdr:xfrm>
        <a:off x="2647950" y="10191750"/>
        <a:ext cx="2705100" cy="107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tabSelected="1" zoomScale="125" zoomScaleNormal="125" workbookViewId="0" topLeftCell="A52">
      <selection activeCell="K78" sqref="K78"/>
    </sheetView>
  </sheetViews>
  <sheetFormatPr defaultColWidth="11.421875" defaultRowHeight="12.75"/>
  <cols>
    <col min="1" max="1" width="2.57421875" style="1" customWidth="1"/>
    <col min="2" max="2" width="9.140625" style="2" customWidth="1"/>
    <col min="3" max="4" width="5.8515625" style="2" customWidth="1"/>
    <col min="5" max="5" width="6.421875" style="2" customWidth="1"/>
    <col min="6" max="6" width="2.00390625" style="2" customWidth="1"/>
    <col min="7" max="7" width="10.28125" style="2" customWidth="1"/>
    <col min="8" max="9" width="6.8515625" style="2" customWidth="1"/>
    <col min="10" max="10" width="6.28125" style="2" customWidth="1"/>
    <col min="11" max="11" width="1.28515625" style="1" customWidth="1"/>
    <col min="12" max="17" width="10.8515625" style="1" customWidth="1"/>
    <col min="18" max="25" width="7.421875" style="1" customWidth="1"/>
    <col min="26" max="26" width="10.8515625" style="1" customWidth="1"/>
    <col min="27" max="27" width="8.28125" style="3" customWidth="1"/>
    <col min="28" max="35" width="7.00390625" style="0" customWidth="1"/>
    <col min="36" max="16384" width="10.8515625" style="1" customWidth="1"/>
  </cols>
  <sheetData>
    <row r="1" ht="14.25" thickBot="1"/>
    <row r="2" spans="2:35" s="4" customFormat="1" ht="15" customHeight="1" thickBot="1">
      <c r="B2" s="5"/>
      <c r="C2" s="94" t="s">
        <v>39</v>
      </c>
      <c r="D2" s="95"/>
      <c r="E2" s="96"/>
      <c r="F2" s="6"/>
      <c r="G2" s="5"/>
      <c r="H2" s="97" t="s">
        <v>29</v>
      </c>
      <c r="I2" s="98"/>
      <c r="J2" s="99"/>
      <c r="M2" s="5"/>
      <c r="N2" s="97" t="s">
        <v>41</v>
      </c>
      <c r="O2" s="98"/>
      <c r="P2" s="99"/>
      <c r="AA2" s="3"/>
      <c r="AB2"/>
      <c r="AC2"/>
      <c r="AD2"/>
      <c r="AE2"/>
      <c r="AF2"/>
      <c r="AG2"/>
      <c r="AH2"/>
      <c r="AI2"/>
    </row>
    <row r="3" spans="2:35" s="7" customFormat="1" ht="13.5">
      <c r="B3" s="8"/>
      <c r="C3" s="9" t="s">
        <v>22</v>
      </c>
      <c r="D3" s="9" t="s">
        <v>11</v>
      </c>
      <c r="E3" s="9" t="s">
        <v>21</v>
      </c>
      <c r="F3" s="10"/>
      <c r="G3" s="8"/>
      <c r="H3" s="9" t="s">
        <v>23</v>
      </c>
      <c r="I3" s="9" t="s">
        <v>11</v>
      </c>
      <c r="J3" s="9" t="s">
        <v>21</v>
      </c>
      <c r="M3" s="8"/>
      <c r="N3" s="9" t="s">
        <v>23</v>
      </c>
      <c r="O3" s="9" t="s">
        <v>11</v>
      </c>
      <c r="P3" s="9" t="s">
        <v>21</v>
      </c>
      <c r="AA3" s="11"/>
      <c r="AB3" s="12"/>
      <c r="AC3" s="12"/>
      <c r="AD3" s="12"/>
      <c r="AE3" s="12"/>
      <c r="AF3" s="12"/>
      <c r="AG3" s="12"/>
      <c r="AH3" s="12"/>
      <c r="AI3" s="12"/>
    </row>
    <row r="4" spans="2:35" s="13" customFormat="1" ht="12.75">
      <c r="B4" s="14" t="s">
        <v>20</v>
      </c>
      <c r="C4" s="15">
        <v>0.1408</v>
      </c>
      <c r="D4" s="15">
        <v>0.0672</v>
      </c>
      <c r="E4" s="15">
        <f>C4-D4</f>
        <v>0.07360000000000001</v>
      </c>
      <c r="F4" s="16"/>
      <c r="G4" s="14" t="s">
        <v>25</v>
      </c>
      <c r="H4" s="15">
        <v>0.144</v>
      </c>
      <c r="I4" s="15">
        <v>0.12</v>
      </c>
      <c r="J4" s="15">
        <f>H4-I4</f>
        <v>0.023999999999999994</v>
      </c>
      <c r="M4" s="14" t="s">
        <v>25</v>
      </c>
      <c r="N4" s="15">
        <v>0.1856</v>
      </c>
      <c r="O4" s="15">
        <v>0.075</v>
      </c>
      <c r="P4" s="15">
        <f>N4-O4</f>
        <v>0.11059999999999999</v>
      </c>
      <c r="AA4" s="3"/>
      <c r="AB4"/>
      <c r="AC4"/>
      <c r="AD4"/>
      <c r="AE4"/>
      <c r="AF4"/>
      <c r="AG4"/>
      <c r="AH4"/>
      <c r="AI4"/>
    </row>
    <row r="5" spans="2:35" s="13" customFormat="1" ht="12.75">
      <c r="B5" s="14" t="s">
        <v>33</v>
      </c>
      <c r="C5" s="15">
        <v>0</v>
      </c>
      <c r="D5" s="15">
        <v>0</v>
      </c>
      <c r="E5" s="15">
        <f>C5-D5</f>
        <v>0</v>
      </c>
      <c r="F5" s="16"/>
      <c r="G5" s="14" t="s">
        <v>32</v>
      </c>
      <c r="H5" s="17">
        <v>3.364</v>
      </c>
      <c r="I5" s="17">
        <v>1.366</v>
      </c>
      <c r="J5" s="18">
        <f>H5-I5</f>
        <v>1.9979999999999998</v>
      </c>
      <c r="M5" s="14" t="s">
        <v>32</v>
      </c>
      <c r="N5" s="17">
        <v>1.67</v>
      </c>
      <c r="O5" s="17">
        <f>N5</f>
        <v>1.67</v>
      </c>
      <c r="P5" s="18">
        <f>N5-O5</f>
        <v>0</v>
      </c>
      <c r="AA5" s="3"/>
      <c r="AB5"/>
      <c r="AC5"/>
      <c r="AD5"/>
      <c r="AE5"/>
      <c r="AF5"/>
      <c r="AG5"/>
      <c r="AH5"/>
      <c r="AI5"/>
    </row>
    <row r="6" spans="2:35" s="19" customFormat="1" ht="13.5">
      <c r="B6" s="20" t="s">
        <v>12</v>
      </c>
      <c r="C6" s="21">
        <v>0.326</v>
      </c>
      <c r="D6" s="21">
        <v>0.15</v>
      </c>
      <c r="E6" s="21">
        <f>C6-D6</f>
        <v>0.17600000000000002</v>
      </c>
      <c r="F6" s="22"/>
      <c r="G6" s="23" t="s">
        <v>30</v>
      </c>
      <c r="H6" s="24">
        <f>H4*H5</f>
        <v>0.48441599999999996</v>
      </c>
      <c r="I6" s="24">
        <f>I4*I5</f>
        <v>0.16392</v>
      </c>
      <c r="J6" s="24">
        <f>H6-I6</f>
        <v>0.32049599999999995</v>
      </c>
      <c r="M6" s="23" t="s">
        <v>30</v>
      </c>
      <c r="N6" s="24">
        <f>N4*N5</f>
        <v>0.30995199999999995</v>
      </c>
      <c r="O6" s="24">
        <f>O4*O5</f>
        <v>0.12525</v>
      </c>
      <c r="P6" s="24">
        <f>N6-O6</f>
        <v>0.18470199999999995</v>
      </c>
      <c r="AA6" s="3"/>
      <c r="AB6"/>
      <c r="AC6"/>
      <c r="AD6"/>
      <c r="AE6"/>
      <c r="AF6"/>
      <c r="AG6"/>
      <c r="AH6"/>
      <c r="AI6"/>
    </row>
    <row r="7" spans="2:35" s="19" customFormat="1" ht="13.5">
      <c r="B7" s="25" t="s">
        <v>26</v>
      </c>
      <c r="C7" s="26">
        <v>0.44</v>
      </c>
      <c r="D7" s="26">
        <v>0.44</v>
      </c>
      <c r="E7" s="26">
        <v>0</v>
      </c>
      <c r="F7" s="22"/>
      <c r="G7" s="27" t="s">
        <v>26</v>
      </c>
      <c r="H7" s="28">
        <v>0.39</v>
      </c>
      <c r="I7" s="28">
        <f>H7</f>
        <v>0.39</v>
      </c>
      <c r="J7" s="28">
        <v>0</v>
      </c>
      <c r="M7" s="27" t="s">
        <v>26</v>
      </c>
      <c r="N7" s="28">
        <v>0.35</v>
      </c>
      <c r="O7" s="28">
        <f>N7</f>
        <v>0.35</v>
      </c>
      <c r="P7" s="28">
        <v>0</v>
      </c>
      <c r="AA7" s="3"/>
      <c r="AB7"/>
      <c r="AC7"/>
      <c r="AD7"/>
      <c r="AE7"/>
      <c r="AF7"/>
      <c r="AG7"/>
      <c r="AH7"/>
      <c r="AI7"/>
    </row>
    <row r="8" spans="2:35" s="13" customFormat="1" ht="12.75">
      <c r="B8" s="29" t="s">
        <v>13</v>
      </c>
      <c r="C8" s="30">
        <f>C6*(1-C7)</f>
        <v>0.18256000000000003</v>
      </c>
      <c r="D8" s="30">
        <f>D6*(1-D7)</f>
        <v>0.084</v>
      </c>
      <c r="E8" s="15">
        <f aca="true" t="shared" si="0" ref="E8:E15">C8-D8</f>
        <v>0.09856000000000002</v>
      </c>
      <c r="F8" s="16"/>
      <c r="G8" s="29" t="s">
        <v>13</v>
      </c>
      <c r="H8" s="30">
        <f>H6*(1-H7)</f>
        <v>0.29549376</v>
      </c>
      <c r="I8" s="30">
        <f>I6*(1-I7)</f>
        <v>0.0999912</v>
      </c>
      <c r="J8" s="15">
        <f>H8-I8</f>
        <v>0.19550256</v>
      </c>
      <c r="M8" s="29" t="s">
        <v>13</v>
      </c>
      <c r="N8" s="30">
        <f>N6*(1-N7)</f>
        <v>0.20146879999999998</v>
      </c>
      <c r="O8" s="30">
        <f>O6*(1-O7)</f>
        <v>0.0814125</v>
      </c>
      <c r="P8" s="15">
        <f>N8-O8</f>
        <v>0.12005629999999998</v>
      </c>
      <c r="AA8" s="3"/>
      <c r="AB8"/>
      <c r="AC8"/>
      <c r="AD8"/>
      <c r="AE8"/>
      <c r="AF8"/>
      <c r="AG8"/>
      <c r="AH8"/>
      <c r="AI8"/>
    </row>
    <row r="9" spans="2:35" s="13" customFormat="1" ht="12.75">
      <c r="B9" s="17" t="s">
        <v>14</v>
      </c>
      <c r="C9" s="17">
        <v>5</v>
      </c>
      <c r="D9" s="17">
        <v>5</v>
      </c>
      <c r="E9" s="17">
        <f t="shared" si="0"/>
        <v>0</v>
      </c>
      <c r="F9" s="31"/>
      <c r="G9" s="17" t="s">
        <v>14</v>
      </c>
      <c r="H9" s="17">
        <v>5</v>
      </c>
      <c r="I9" s="17">
        <f>H9</f>
        <v>5</v>
      </c>
      <c r="J9" s="17">
        <f>H9-I9</f>
        <v>0</v>
      </c>
      <c r="M9" s="17" t="s">
        <v>14</v>
      </c>
      <c r="N9" s="17">
        <v>10</v>
      </c>
      <c r="O9" s="17">
        <f>N9</f>
        <v>10</v>
      </c>
      <c r="P9" s="17">
        <f>N9-O9</f>
        <v>0</v>
      </c>
      <c r="AA9" s="3"/>
      <c r="AB9"/>
      <c r="AC9"/>
      <c r="AD9"/>
      <c r="AE9"/>
      <c r="AF9"/>
      <c r="AG9"/>
      <c r="AH9"/>
      <c r="AI9"/>
    </row>
    <row r="10" spans="2:35" s="19" customFormat="1" ht="13.5">
      <c r="B10" s="20" t="s">
        <v>15</v>
      </c>
      <c r="C10" s="21">
        <v>0.13</v>
      </c>
      <c r="D10" s="21">
        <v>0.13</v>
      </c>
      <c r="E10" s="21">
        <f t="shared" si="0"/>
        <v>0</v>
      </c>
      <c r="F10" s="22"/>
      <c r="G10" s="14" t="s">
        <v>15</v>
      </c>
      <c r="H10" s="32">
        <v>0.13325</v>
      </c>
      <c r="I10" s="32">
        <f>H10</f>
        <v>0.13325</v>
      </c>
      <c r="J10" s="15">
        <f>H10-I10</f>
        <v>0</v>
      </c>
      <c r="M10" s="14" t="s">
        <v>15</v>
      </c>
      <c r="N10" s="32">
        <v>0.1213</v>
      </c>
      <c r="O10" s="32">
        <f>N10</f>
        <v>0.1213</v>
      </c>
      <c r="P10" s="15">
        <f>N10-O10</f>
        <v>0</v>
      </c>
      <c r="AA10" s="3"/>
      <c r="AB10"/>
      <c r="AC10"/>
      <c r="AD10"/>
      <c r="AE10"/>
      <c r="AF10"/>
      <c r="AG10"/>
      <c r="AH10"/>
      <c r="AI10"/>
    </row>
    <row r="11" spans="2:35" s="19" customFormat="1" ht="13.5">
      <c r="B11" s="20" t="s">
        <v>16</v>
      </c>
      <c r="C11" s="21">
        <v>0.9216</v>
      </c>
      <c r="D11" s="21">
        <v>0.9216</v>
      </c>
      <c r="E11" s="21">
        <f t="shared" si="0"/>
        <v>0</v>
      </c>
      <c r="F11" s="22"/>
      <c r="G11" s="17" t="s">
        <v>34</v>
      </c>
      <c r="H11" s="33">
        <v>0.65</v>
      </c>
      <c r="I11" s="33">
        <f>H11</f>
        <v>0.65</v>
      </c>
      <c r="J11" s="33">
        <f>H11-I11</f>
        <v>0</v>
      </c>
      <c r="M11" s="17" t="s">
        <v>34</v>
      </c>
      <c r="N11" s="34">
        <v>0.8065</v>
      </c>
      <c r="O11" s="34">
        <v>0.521</v>
      </c>
      <c r="P11" s="34">
        <f>N11-O11</f>
        <v>0.2855</v>
      </c>
      <c r="AA11" s="3"/>
      <c r="AB11"/>
      <c r="AC11"/>
      <c r="AD11"/>
      <c r="AE11"/>
      <c r="AF11"/>
      <c r="AG11"/>
      <c r="AH11"/>
      <c r="AI11"/>
    </row>
    <row r="12" spans="2:35" s="19" customFormat="1" ht="14.25" thickBot="1">
      <c r="B12" s="20" t="s">
        <v>17</v>
      </c>
      <c r="C12" s="21">
        <v>0.085</v>
      </c>
      <c r="D12" s="21">
        <v>0.085</v>
      </c>
      <c r="E12" s="21">
        <f t="shared" si="0"/>
        <v>0</v>
      </c>
      <c r="F12" s="22"/>
      <c r="G12" s="14" t="s">
        <v>35</v>
      </c>
      <c r="H12" s="15">
        <v>0.06</v>
      </c>
      <c r="I12" s="15">
        <v>0.06</v>
      </c>
      <c r="J12" s="15">
        <f>H12-I12</f>
        <v>0</v>
      </c>
      <c r="M12" s="14" t="s">
        <v>35</v>
      </c>
      <c r="N12" s="15">
        <v>0.06</v>
      </c>
      <c r="O12" s="15">
        <v>0.06</v>
      </c>
      <c r="P12" s="15">
        <f>N12-O12</f>
        <v>0</v>
      </c>
      <c r="AA12" s="3"/>
      <c r="AB12"/>
      <c r="AC12"/>
      <c r="AD12"/>
      <c r="AE12"/>
      <c r="AF12"/>
      <c r="AG12"/>
      <c r="AH12"/>
      <c r="AI12"/>
    </row>
    <row r="13" spans="2:35" s="19" customFormat="1" ht="14.25" thickBot="1">
      <c r="B13" s="20" t="s">
        <v>19</v>
      </c>
      <c r="C13" s="21">
        <v>0.36</v>
      </c>
      <c r="D13" s="21">
        <v>0.36</v>
      </c>
      <c r="E13" s="21">
        <f t="shared" si="0"/>
        <v>0</v>
      </c>
      <c r="F13" s="22"/>
      <c r="G13" s="35"/>
      <c r="H13" s="35"/>
      <c r="I13" s="35"/>
      <c r="J13" s="35"/>
      <c r="M13" s="36" t="s">
        <v>3</v>
      </c>
      <c r="N13" s="37">
        <f>((N4)*(1+N8)*(N7)/(N10-N8))*(1-((((1+N8)/(1+N10))^(N9))))+N4*(N11)*((1+N8)^(N9))/((1+N10)^(N9))*(1+N12)/(N10-N12)</f>
        <v>6.131893902814181</v>
      </c>
      <c r="O13" s="37">
        <f>((O4)*(1+O8)*(O7)/(O10-O8))*(1-((((1+O8)/(1+O10))^(O9))))+O4*(O11)*((1+O8)^(O9))/((1+O10)^(O9))*(1+O12)/(O10-O12)</f>
        <v>0.6866221629593137</v>
      </c>
      <c r="P13" s="38">
        <f>ROUNDDOWN(N13-O13,2)</f>
        <v>5.44</v>
      </c>
      <c r="AA13" s="3"/>
      <c r="AB13"/>
      <c r="AC13"/>
      <c r="AD13"/>
      <c r="AE13"/>
      <c r="AF13"/>
      <c r="AG13"/>
      <c r="AH13"/>
      <c r="AI13"/>
    </row>
    <row r="14" spans="2:35" s="13" customFormat="1" ht="13.5" thickBot="1">
      <c r="B14" s="14" t="s">
        <v>18</v>
      </c>
      <c r="C14" s="15">
        <f>C10*C11+C12*(1-C11)*(1-C13)</f>
        <v>0.12407296</v>
      </c>
      <c r="D14" s="15">
        <f>D10*D11+D12*(1-D11)*(1-D13)</f>
        <v>0.12407296</v>
      </c>
      <c r="E14" s="15">
        <f t="shared" si="0"/>
        <v>0</v>
      </c>
      <c r="F14" s="16"/>
      <c r="G14" s="35"/>
      <c r="H14" s="35"/>
      <c r="I14" s="35"/>
      <c r="J14" s="35"/>
      <c r="M14" s="29" t="s">
        <v>40</v>
      </c>
      <c r="N14" s="39"/>
      <c r="O14" s="31"/>
      <c r="P14" s="40">
        <v>18868</v>
      </c>
      <c r="AA14" s="3"/>
      <c r="AB14"/>
      <c r="AC14"/>
      <c r="AD14"/>
      <c r="AE14"/>
      <c r="AF14"/>
      <c r="AG14"/>
      <c r="AH14"/>
      <c r="AI14"/>
    </row>
    <row r="15" spans="2:35" s="13" customFormat="1" ht="12" customHeight="1" thickBot="1">
      <c r="B15" s="14" t="s">
        <v>35</v>
      </c>
      <c r="C15" s="15">
        <v>0.05</v>
      </c>
      <c r="D15" s="15">
        <v>0.05</v>
      </c>
      <c r="E15" s="15">
        <f t="shared" si="0"/>
        <v>0</v>
      </c>
      <c r="F15" s="16"/>
      <c r="G15" s="35"/>
      <c r="H15" s="35"/>
      <c r="I15" s="35"/>
      <c r="J15" s="35"/>
      <c r="M15" s="41" t="s">
        <v>24</v>
      </c>
      <c r="N15" s="41"/>
      <c r="O15" s="42"/>
      <c r="P15" s="43">
        <f>P13*P14</f>
        <v>102641.92000000001</v>
      </c>
      <c r="AA15" s="3"/>
      <c r="AB15"/>
      <c r="AC15"/>
      <c r="AD15"/>
      <c r="AE15"/>
      <c r="AF15"/>
      <c r="AG15"/>
      <c r="AH15"/>
      <c r="AI15"/>
    </row>
    <row r="16" spans="13:35" ht="12" customHeight="1" thickBot="1">
      <c r="M16" s="29" t="s">
        <v>27</v>
      </c>
      <c r="N16" s="44"/>
      <c r="O16" s="31"/>
      <c r="P16" s="40">
        <f>P14*N13</f>
        <v>115696.57415829795</v>
      </c>
      <c r="AC16" s="45">
        <f>AC24-AB24</f>
        <v>-393</v>
      </c>
      <c r="AD16" s="45">
        <f aca="true" t="shared" si="1" ref="AD16:AI16">AD24-AC24</f>
        <v>-132</v>
      </c>
      <c r="AE16" s="45">
        <f t="shared" si="1"/>
        <v>-328</v>
      </c>
      <c r="AF16" s="45">
        <f t="shared" si="1"/>
        <v>-459</v>
      </c>
      <c r="AG16" s="45">
        <f t="shared" si="1"/>
        <v>-525</v>
      </c>
      <c r="AH16" s="45">
        <f t="shared" si="1"/>
        <v>-591</v>
      </c>
      <c r="AI16" s="45">
        <f t="shared" si="1"/>
        <v>-525</v>
      </c>
    </row>
    <row r="17" spans="2:35" s="46" customFormat="1" ht="12" customHeight="1" thickBot="1">
      <c r="B17" s="36" t="s">
        <v>4</v>
      </c>
      <c r="C17" s="38">
        <f>((C4-C5*C8)*(1+C8)/(C14-C8))*(1-((((1+C8)/(1+C14))^(C9-1))*((C8-C15)/(C14-C15))))</f>
        <v>3.3938455170571924</v>
      </c>
      <c r="D17" s="47">
        <f>((D4-D5*D8)*(1+D8)/(D14-D8))*(1-((((1+D8)/(1+D14))^(D9-1))*((D8-D15)/(D14-D15))))</f>
        <v>1.0961894527206213</v>
      </c>
      <c r="E17" s="38">
        <f>ROUNDDOWN(C17-D17,2)</f>
        <v>2.29</v>
      </c>
      <c r="F17" s="48"/>
      <c r="G17" s="36" t="s">
        <v>3</v>
      </c>
      <c r="H17" s="37">
        <f>((H4)*(1+H8)*(H7)/(H10-H8))*(1-((((1+H8)/(1+H10))^(H9))))+H4*(H11)*((1+H8)^(H9))/((1+H10)^(H9))*(1+H12)/(H10-H12)</f>
        <v>3.0714116468702426</v>
      </c>
      <c r="I17" s="37">
        <f>((I4)*(1+I8)*(I7)/(I10-I8))*(1-((((1+I8)/(1+I10))^(I9))))+I4*(I11)*((1+I8)^(I9))/((1+I10)^(I9))*(1+I12)/(I10-I12)</f>
        <v>1.1867324744768317</v>
      </c>
      <c r="J17" s="38">
        <f>ROUNDDOWN(H17-I17,2)</f>
        <v>1.88</v>
      </c>
      <c r="M17" s="14" t="s">
        <v>28</v>
      </c>
      <c r="N17" s="14"/>
      <c r="O17" s="49"/>
      <c r="P17" s="50">
        <f>P15/P16</f>
        <v>0.8871647302154656</v>
      </c>
      <c r="AA17" s="3"/>
      <c r="AB17"/>
      <c r="AC17"/>
      <c r="AD17"/>
      <c r="AE17"/>
      <c r="AF17"/>
      <c r="AG17"/>
      <c r="AH17"/>
      <c r="AI17"/>
    </row>
    <row r="18" spans="2:35" ht="14.25" thickBot="1">
      <c r="B18" s="51" t="s">
        <v>5</v>
      </c>
      <c r="C18" s="52"/>
      <c r="D18" s="52"/>
      <c r="E18" s="53">
        <v>6562</v>
      </c>
      <c r="F18" s="54"/>
      <c r="G18" s="51" t="s">
        <v>8</v>
      </c>
      <c r="H18" s="55"/>
      <c r="I18" s="52"/>
      <c r="J18" s="53">
        <v>13074</v>
      </c>
      <c r="AA18" s="11"/>
      <c r="AB18" s="12"/>
      <c r="AC18" s="12"/>
      <c r="AD18" s="12"/>
      <c r="AE18" s="12"/>
      <c r="AF18" s="12"/>
      <c r="AG18" s="12"/>
      <c r="AH18" s="12"/>
      <c r="AI18" s="12"/>
    </row>
    <row r="19" spans="2:35" ht="14.25" thickBot="1">
      <c r="B19" s="56" t="s">
        <v>2</v>
      </c>
      <c r="C19" s="57"/>
      <c r="D19" s="57"/>
      <c r="E19" s="43">
        <f>E17*E18</f>
        <v>15026.98</v>
      </c>
      <c r="F19" s="58"/>
      <c r="G19" s="56" t="s">
        <v>2</v>
      </c>
      <c r="H19" s="56"/>
      <c r="I19" s="57"/>
      <c r="J19" s="43">
        <f>J17*J18</f>
        <v>24579.12</v>
      </c>
      <c r="AA19" s="11"/>
      <c r="AB19" s="12"/>
      <c r="AC19" s="12"/>
      <c r="AD19" s="12"/>
      <c r="AE19" s="12"/>
      <c r="AF19" s="12"/>
      <c r="AG19" s="12"/>
      <c r="AH19" s="12"/>
      <c r="AI19" s="12"/>
    </row>
    <row r="20" spans="2:35" ht="13.5">
      <c r="B20" s="51" t="s">
        <v>6</v>
      </c>
      <c r="C20" s="52"/>
      <c r="D20" s="52"/>
      <c r="E20" s="53">
        <f>E18*C17</f>
        <v>22270.414282929298</v>
      </c>
      <c r="F20" s="54"/>
      <c r="G20" s="51" t="s">
        <v>9</v>
      </c>
      <c r="H20" s="59"/>
      <c r="I20" s="52"/>
      <c r="J20" s="53">
        <f>J18*H17</f>
        <v>40155.63587118155</v>
      </c>
      <c r="U20" s="1" t="s">
        <v>0</v>
      </c>
      <c r="AA20" s="11"/>
      <c r="AB20" s="12"/>
      <c r="AC20" s="12"/>
      <c r="AD20" s="12"/>
      <c r="AE20" s="12" t="s">
        <v>0</v>
      </c>
      <c r="AF20" s="12"/>
      <c r="AG20" s="12"/>
      <c r="AH20" s="12"/>
      <c r="AI20" s="12"/>
    </row>
    <row r="21" spans="2:35" ht="14.25" thickBot="1">
      <c r="B21" s="60" t="s">
        <v>7</v>
      </c>
      <c r="C21" s="61"/>
      <c r="D21" s="61"/>
      <c r="E21" s="62">
        <f>E19/E20</f>
        <v>0.6747508065675487</v>
      </c>
      <c r="F21" s="63"/>
      <c r="G21" s="60" t="s">
        <v>28</v>
      </c>
      <c r="H21" s="60"/>
      <c r="I21" s="61"/>
      <c r="J21" s="62">
        <f>J19/J20</f>
        <v>0.6120963961036331</v>
      </c>
      <c r="AA21" s="64"/>
      <c r="AB21" s="1"/>
      <c r="AC21" s="1"/>
      <c r="AD21" s="1"/>
      <c r="AE21" s="1"/>
      <c r="AF21" s="1"/>
      <c r="AG21" s="1"/>
      <c r="AH21" s="1"/>
      <c r="AI21" s="1"/>
    </row>
    <row r="22" spans="18:35" ht="12.75" customHeight="1" thickBot="1">
      <c r="R22" s="100" t="s">
        <v>10</v>
      </c>
      <c r="S22" s="101"/>
      <c r="T22" s="101"/>
      <c r="U22" s="101"/>
      <c r="V22" s="101"/>
      <c r="W22" s="101"/>
      <c r="X22" s="101"/>
      <c r="Y22" s="102"/>
      <c r="AA22" s="64"/>
      <c r="AB22" s="91" t="s">
        <v>10</v>
      </c>
      <c r="AC22" s="92"/>
      <c r="AD22" s="92"/>
      <c r="AE22" s="92"/>
      <c r="AF22" s="92"/>
      <c r="AG22" s="92"/>
      <c r="AH22" s="92"/>
      <c r="AI22" s="93"/>
    </row>
    <row r="23" spans="17:35" ht="14.25" thickBot="1">
      <c r="Q23" s="65">
        <f>E19</f>
        <v>15026.98</v>
      </c>
      <c r="R23" s="66">
        <v>0.06</v>
      </c>
      <c r="S23" s="66">
        <v>0.08</v>
      </c>
      <c r="T23" s="67">
        <v>0.084</v>
      </c>
      <c r="U23" s="66">
        <v>0.1</v>
      </c>
      <c r="V23" s="66">
        <f>U23+0.02</f>
        <v>0.12000000000000001</v>
      </c>
      <c r="W23" s="66">
        <f>V23+0.02</f>
        <v>0.14</v>
      </c>
      <c r="X23" s="66">
        <f>W23+0.02</f>
        <v>0.16</v>
      </c>
      <c r="Y23" s="66">
        <f>X23+0.02</f>
        <v>0.18</v>
      </c>
      <c r="AA23" s="68" t="s">
        <v>50</v>
      </c>
      <c r="AB23" s="69">
        <v>0.06</v>
      </c>
      <c r="AC23" s="70">
        <v>0.08</v>
      </c>
      <c r="AD23" s="71">
        <v>0.084</v>
      </c>
      <c r="AE23" s="70">
        <v>0.1</v>
      </c>
      <c r="AF23" s="70">
        <v>0.12</v>
      </c>
      <c r="AG23" s="70">
        <v>0.14</v>
      </c>
      <c r="AH23" s="70">
        <v>0.16</v>
      </c>
      <c r="AI23" s="72">
        <v>0.18</v>
      </c>
    </row>
    <row r="24" spans="2:35" ht="14.25" thickBot="1">
      <c r="B24" s="2" t="s">
        <v>38</v>
      </c>
      <c r="C24" s="2" t="s">
        <v>38</v>
      </c>
      <c r="D24" s="2" t="s">
        <v>31</v>
      </c>
      <c r="E24" s="2" t="s">
        <v>31</v>
      </c>
      <c r="H24" s="2" t="s">
        <v>38</v>
      </c>
      <c r="I24" s="2" t="s">
        <v>38</v>
      </c>
      <c r="J24" s="2" t="s">
        <v>37</v>
      </c>
      <c r="L24" s="2" t="s">
        <v>37</v>
      </c>
      <c r="Q24" s="73">
        <v>0.05</v>
      </c>
      <c r="R24" s="74">
        <v>17389.3</v>
      </c>
      <c r="S24" s="74">
        <v>16995.58</v>
      </c>
      <c r="T24" s="75">
        <v>16864.34</v>
      </c>
      <c r="U24" s="74">
        <v>16536.24</v>
      </c>
      <c r="V24" s="74">
        <v>16076.9</v>
      </c>
      <c r="W24" s="74">
        <v>15551.94</v>
      </c>
      <c r="X24" s="74">
        <v>14961.36</v>
      </c>
      <c r="Y24" s="74">
        <v>14436.4</v>
      </c>
      <c r="AA24" s="76">
        <v>0.05</v>
      </c>
      <c r="AB24" s="77">
        <v>17389</v>
      </c>
      <c r="AC24" s="78">
        <v>16996</v>
      </c>
      <c r="AD24" s="79">
        <v>16864</v>
      </c>
      <c r="AE24" s="78">
        <v>16536</v>
      </c>
      <c r="AF24" s="78">
        <v>16077</v>
      </c>
      <c r="AG24" s="78">
        <v>15552</v>
      </c>
      <c r="AH24" s="78">
        <v>14961</v>
      </c>
      <c r="AI24" s="78">
        <v>14436</v>
      </c>
    </row>
    <row r="25" spans="2:35" ht="14.25" thickBot="1">
      <c r="B25" s="2" t="s">
        <v>22</v>
      </c>
      <c r="C25" s="2" t="s">
        <v>36</v>
      </c>
      <c r="D25" s="2" t="s">
        <v>22</v>
      </c>
      <c r="E25" s="2" t="s">
        <v>36</v>
      </c>
      <c r="G25" s="1"/>
      <c r="H25" s="2" t="s">
        <v>23</v>
      </c>
      <c r="I25" s="2" t="s">
        <v>36</v>
      </c>
      <c r="J25" s="2" t="s">
        <v>23</v>
      </c>
      <c r="K25" s="2"/>
      <c r="L25" s="2" t="s">
        <v>36</v>
      </c>
      <c r="Q25" s="80">
        <v>0.0672</v>
      </c>
      <c r="R25" s="74">
        <v>15748.8</v>
      </c>
      <c r="S25" s="81">
        <v>15158.22</v>
      </c>
      <c r="T25" s="82">
        <v>15026.98</v>
      </c>
      <c r="U25" s="83">
        <v>14567.64</v>
      </c>
      <c r="V25" s="74">
        <v>13911.44</v>
      </c>
      <c r="W25" s="74">
        <v>13255.24</v>
      </c>
      <c r="X25" s="74">
        <v>12467.8</v>
      </c>
      <c r="Y25" s="74">
        <v>11680.36</v>
      </c>
      <c r="AA25" s="84">
        <v>0.0672</v>
      </c>
      <c r="AB25" s="83">
        <v>15749</v>
      </c>
      <c r="AC25" s="81">
        <v>15158</v>
      </c>
      <c r="AD25" s="82">
        <v>15027</v>
      </c>
      <c r="AE25" s="83">
        <v>14568</v>
      </c>
      <c r="AF25" s="74">
        <v>13911</v>
      </c>
      <c r="AG25" s="74">
        <v>13255</v>
      </c>
      <c r="AH25" s="74">
        <v>12468</v>
      </c>
      <c r="AI25" s="74">
        <v>11680</v>
      </c>
    </row>
    <row r="26" spans="1:35" ht="13.5">
      <c r="A26" s="1">
        <v>1994</v>
      </c>
      <c r="B26" s="85">
        <f>E18</f>
        <v>6562</v>
      </c>
      <c r="C26" s="85">
        <f>B26</f>
        <v>6562</v>
      </c>
      <c r="D26" s="2">
        <f>E18*C4</f>
        <v>923.9296</v>
      </c>
      <c r="E26" s="2">
        <f>E18*D4</f>
        <v>440.96639999999996</v>
      </c>
      <c r="G26" s="1">
        <v>1992</v>
      </c>
      <c r="H26" s="85">
        <f>J18</f>
        <v>13074</v>
      </c>
      <c r="I26" s="85">
        <f>H26</f>
        <v>13074</v>
      </c>
      <c r="J26" s="2">
        <f>J18*H4*H7</f>
        <v>734.23584</v>
      </c>
      <c r="L26" s="1">
        <f>J18*I4*I7</f>
        <v>611.8632</v>
      </c>
      <c r="Q26" s="73">
        <v>0.08</v>
      </c>
      <c r="R26" s="74">
        <v>14502.02</v>
      </c>
      <c r="S26" s="81">
        <v>13845.82</v>
      </c>
      <c r="T26" s="78">
        <v>13648.96</v>
      </c>
      <c r="U26" s="83">
        <v>13124</v>
      </c>
      <c r="V26" s="74">
        <v>12336.56</v>
      </c>
      <c r="W26" s="74">
        <v>11483.5</v>
      </c>
      <c r="X26" s="74">
        <v>10630.44</v>
      </c>
      <c r="Y26" s="74">
        <v>9711.76</v>
      </c>
      <c r="AA26" s="76">
        <v>0.08</v>
      </c>
      <c r="AB26" s="83">
        <v>14502</v>
      </c>
      <c r="AC26" s="74">
        <v>13846</v>
      </c>
      <c r="AD26" s="78">
        <v>13649</v>
      </c>
      <c r="AE26" s="74">
        <v>13124</v>
      </c>
      <c r="AF26" s="74">
        <v>12337</v>
      </c>
      <c r="AG26" s="74">
        <v>11484</v>
      </c>
      <c r="AH26" s="74">
        <v>10630</v>
      </c>
      <c r="AI26" s="74">
        <v>9712</v>
      </c>
    </row>
    <row r="27" spans="1:35" ht="13.5">
      <c r="A27" s="1">
        <f>A26+1</f>
        <v>1995</v>
      </c>
      <c r="B27" s="85">
        <f>B26*(1+$C$8)</f>
        <v>7759.9587200000005</v>
      </c>
      <c r="C27" s="85">
        <f>C26*(1+$D$8)</f>
        <v>7113.2080000000005</v>
      </c>
      <c r="D27" s="2">
        <f>B27/B26*D26</f>
        <v>1092.6021877760002</v>
      </c>
      <c r="E27" s="2">
        <f>C27/C26*E26</f>
        <v>478.0075776</v>
      </c>
      <c r="G27" s="1">
        <f>G26+1</f>
        <v>1993</v>
      </c>
      <c r="H27" s="85">
        <f>H26*(1+$H$8)</f>
        <v>16937.28541824</v>
      </c>
      <c r="I27" s="85">
        <f>I26*(1+$I$8)</f>
        <v>14381.284948800001</v>
      </c>
      <c r="J27" s="2">
        <f>H27/H26*J26</f>
        <v>951.1979490883585</v>
      </c>
      <c r="L27" s="2">
        <f>L26*I27/I26</f>
        <v>673.04413560384</v>
      </c>
      <c r="P27" s="1" t="s">
        <v>1</v>
      </c>
      <c r="Q27" s="73">
        <v>0.09</v>
      </c>
      <c r="R27" s="74">
        <v>13517.72</v>
      </c>
      <c r="S27" s="74">
        <v>12730.28</v>
      </c>
      <c r="T27" s="78">
        <v>12599.04</v>
      </c>
      <c r="U27" s="74">
        <v>11942.84</v>
      </c>
      <c r="V27" s="74">
        <v>11089.78</v>
      </c>
      <c r="W27" s="74">
        <v>10171.1</v>
      </c>
      <c r="X27" s="74">
        <v>9186.8</v>
      </c>
      <c r="Y27" s="74">
        <v>8136.88</v>
      </c>
      <c r="AA27" s="76">
        <v>0.1</v>
      </c>
      <c r="AB27" s="83">
        <v>12533</v>
      </c>
      <c r="AC27" s="74">
        <v>11680</v>
      </c>
      <c r="AD27" s="74">
        <v>11549</v>
      </c>
      <c r="AE27" s="74">
        <v>10827</v>
      </c>
      <c r="AF27" s="74">
        <v>9843</v>
      </c>
      <c r="AG27" s="74">
        <v>8859</v>
      </c>
      <c r="AH27" s="74">
        <v>7743</v>
      </c>
      <c r="AI27" s="74">
        <v>6562</v>
      </c>
    </row>
    <row r="28" spans="1:37" ht="13.5">
      <c r="A28" s="1">
        <f aca="true" t="shared" si="2" ref="A28:A38">A27+1</f>
        <v>1996</v>
      </c>
      <c r="B28" s="85">
        <f>B27*(1+$C$8)</f>
        <v>9176.6167839232</v>
      </c>
      <c r="C28" s="85">
        <f>C27*(1+$D$8)</f>
        <v>7710.717472000001</v>
      </c>
      <c r="D28" s="2">
        <f aca="true" t="shared" si="3" ref="D28:E38">B28/B27*D27</f>
        <v>1292.0676431763868</v>
      </c>
      <c r="E28" s="2">
        <f t="shared" si="3"/>
        <v>518.1602141184001</v>
      </c>
      <c r="G28" s="1">
        <f aca="true" t="shared" si="4" ref="G28:G38">G27+1</f>
        <v>1994</v>
      </c>
      <c r="H28" s="85">
        <f>H27*(1+$H$8)</f>
        <v>21942.147570668913</v>
      </c>
      <c r="I28" s="85">
        <f>I27*(1+$I$8)</f>
        <v>15819.286888372453</v>
      </c>
      <c r="J28" s="2">
        <f aca="true" t="shared" si="5" ref="J28:J38">H28/H27*J27</f>
        <v>1232.2710075687662</v>
      </c>
      <c r="L28" s="2">
        <f>I28/I27*L27</f>
        <v>740.3426263758307</v>
      </c>
      <c r="Q28" s="73">
        <f>Q27+0.01</f>
        <v>0.09999999999999999</v>
      </c>
      <c r="R28" s="74">
        <v>12533.42</v>
      </c>
      <c r="S28" s="74">
        <v>11680.36</v>
      </c>
      <c r="T28" s="74">
        <v>11549.12</v>
      </c>
      <c r="U28" s="74">
        <v>10827.3</v>
      </c>
      <c r="V28" s="74">
        <v>9843</v>
      </c>
      <c r="W28" s="74">
        <v>8858.7</v>
      </c>
      <c r="X28" s="74">
        <v>7743.16</v>
      </c>
      <c r="Y28" s="74">
        <v>6562</v>
      </c>
      <c r="AA28" s="76">
        <v>0.14</v>
      </c>
      <c r="AB28" s="83">
        <v>8662</v>
      </c>
      <c r="AC28" s="74">
        <v>7481</v>
      </c>
      <c r="AD28" s="74">
        <v>7284</v>
      </c>
      <c r="AE28" s="74">
        <v>6234</v>
      </c>
      <c r="AF28" s="74">
        <v>4922</v>
      </c>
      <c r="AG28" s="74">
        <v>3478</v>
      </c>
      <c r="AH28" s="74">
        <v>1969</v>
      </c>
      <c r="AI28" s="86">
        <v>328</v>
      </c>
      <c r="AK28" s="65"/>
    </row>
    <row r="29" spans="1:37" ht="13.5">
      <c r="A29" s="1">
        <f t="shared" si="2"/>
        <v>1997</v>
      </c>
      <c r="B29" s="85">
        <f>B28*(1+$C$8)</f>
        <v>10851.89994399622</v>
      </c>
      <c r="C29" s="85">
        <f>C28*(1+$D$8)</f>
        <v>8358.417739648003</v>
      </c>
      <c r="D29" s="2">
        <f t="shared" si="3"/>
        <v>1527.9475121146681</v>
      </c>
      <c r="E29" s="2">
        <f t="shared" si="3"/>
        <v>561.6856721043457</v>
      </c>
      <c r="G29" s="1">
        <f t="shared" si="4"/>
        <v>1995</v>
      </c>
      <c r="H29" s="85">
        <f>H28*(1+$H$8)</f>
        <v>28425.915258800735</v>
      </c>
      <c r="I29" s="85">
        <f>I28*(1+$I$8)</f>
        <v>17401.076367485082</v>
      </c>
      <c r="J29" s="2">
        <f t="shared" si="5"/>
        <v>1596.3994009342493</v>
      </c>
      <c r="L29" s="2">
        <f>I29/I28*L28</f>
        <v>814.3703739983017</v>
      </c>
      <c r="Q29" s="73">
        <v>0.12</v>
      </c>
      <c r="R29" s="74">
        <v>10630.44</v>
      </c>
      <c r="S29" s="74">
        <v>9580.52</v>
      </c>
      <c r="T29" s="74">
        <v>9383.66</v>
      </c>
      <c r="U29" s="74">
        <v>8530.6</v>
      </c>
      <c r="V29" s="74">
        <v>7349.44</v>
      </c>
      <c r="W29" s="74">
        <v>6168.28</v>
      </c>
      <c r="X29" s="74">
        <v>4855.88</v>
      </c>
      <c r="Y29" s="74">
        <v>3412.24</v>
      </c>
      <c r="AA29" s="76">
        <v>0.16</v>
      </c>
      <c r="AB29" s="83">
        <v>6693</v>
      </c>
      <c r="AC29" s="74">
        <v>5381</v>
      </c>
      <c r="AD29" s="74">
        <v>5118</v>
      </c>
      <c r="AE29" s="74">
        <v>3937</v>
      </c>
      <c r="AF29" s="74">
        <v>2428</v>
      </c>
      <c r="AG29" s="86">
        <v>787</v>
      </c>
      <c r="AH29" s="86">
        <v>-919</v>
      </c>
      <c r="AI29" s="74">
        <v>-2756</v>
      </c>
      <c r="AK29" s="65"/>
    </row>
    <row r="30" spans="1:37" ht="13.5">
      <c r="A30" s="1">
        <f t="shared" si="2"/>
        <v>1998</v>
      </c>
      <c r="B30" s="85">
        <f>B29*(1+$C$8)</f>
        <v>12833.022797772172</v>
      </c>
      <c r="C30" s="85">
        <f>C29*(1+$D$8)</f>
        <v>9060.524829778435</v>
      </c>
      <c r="D30" s="2">
        <f t="shared" si="3"/>
        <v>1806.889609926322</v>
      </c>
      <c r="E30" s="2">
        <f t="shared" si="3"/>
        <v>608.8672685611108</v>
      </c>
      <c r="G30" s="1">
        <f t="shared" si="4"/>
        <v>1996</v>
      </c>
      <c r="H30" s="85">
        <f>H29*(1+$H$8)</f>
        <v>36825.595840065136</v>
      </c>
      <c r="I30" s="85">
        <f>I29*(1+$I$8)</f>
        <v>19141.030874761556</v>
      </c>
      <c r="J30" s="2">
        <f t="shared" si="5"/>
        <v>2068.1254623780583</v>
      </c>
      <c r="L30" s="2">
        <f>I30/I29*L29</f>
        <v>895.8002449388407</v>
      </c>
      <c r="Q30" s="73">
        <v>0.14</v>
      </c>
      <c r="R30" s="74">
        <v>8661.84</v>
      </c>
      <c r="S30" s="74">
        <v>7480.68</v>
      </c>
      <c r="T30" s="74">
        <v>7283.82</v>
      </c>
      <c r="U30" s="74">
        <v>6233.9</v>
      </c>
      <c r="V30" s="74">
        <v>4921.5</v>
      </c>
      <c r="W30" s="74">
        <v>3477.86</v>
      </c>
      <c r="X30" s="74">
        <v>1968.6</v>
      </c>
      <c r="Y30" s="74">
        <v>328.1</v>
      </c>
      <c r="AA30" s="76">
        <v>0.18</v>
      </c>
      <c r="AB30" s="83">
        <v>4790</v>
      </c>
      <c r="AC30" s="74">
        <v>3281</v>
      </c>
      <c r="AD30" s="74">
        <v>2953</v>
      </c>
      <c r="AE30" s="74">
        <v>1706</v>
      </c>
      <c r="AF30" s="86">
        <v>0</v>
      </c>
      <c r="AG30" s="74">
        <v>-1837</v>
      </c>
      <c r="AH30" s="74">
        <v>-3806</v>
      </c>
      <c r="AI30" s="74">
        <v>-5906</v>
      </c>
      <c r="AK30" s="65"/>
    </row>
    <row r="31" spans="1:37" ht="14.25" thickBot="1">
      <c r="A31" s="1">
        <f t="shared" si="2"/>
        <v>1999</v>
      </c>
      <c r="B31" s="85">
        <f>B30*(1+$C$8)</f>
        <v>15175.81943973346</v>
      </c>
      <c r="C31" s="85">
        <f>C30*(1+$D$8)</f>
        <v>9821.608915479825</v>
      </c>
      <c r="D31" s="2">
        <f t="shared" si="3"/>
        <v>2136.7553771144712</v>
      </c>
      <c r="E31" s="2">
        <f t="shared" si="3"/>
        <v>660.0121191202442</v>
      </c>
      <c r="G31" s="1">
        <f t="shared" si="4"/>
        <v>1997</v>
      </c>
      <c r="H31" s="85">
        <f>H30*(1+$H$8)</f>
        <v>47707.32961908634</v>
      </c>
      <c r="I31" s="85">
        <f>I30*(1+$I$8)</f>
        <v>21054.965521166014</v>
      </c>
      <c r="J31" s="2">
        <f t="shared" si="5"/>
        <v>2679.2436314078896</v>
      </c>
      <c r="L31" s="2">
        <f>I31/I30*L30</f>
        <v>985.3723863905693</v>
      </c>
      <c r="Q31" s="73">
        <v>0.16</v>
      </c>
      <c r="R31" s="74">
        <v>6693.24</v>
      </c>
      <c r="S31" s="74">
        <v>5380.84</v>
      </c>
      <c r="T31" s="74">
        <v>5118.36</v>
      </c>
      <c r="U31" s="74">
        <v>3937.2</v>
      </c>
      <c r="V31" s="74">
        <v>2427.94</v>
      </c>
      <c r="W31" s="74">
        <v>787.44</v>
      </c>
      <c r="X31" s="74">
        <v>-918.68</v>
      </c>
      <c r="Y31" s="74">
        <v>-2756.04</v>
      </c>
      <c r="AA31" s="87">
        <v>0.2</v>
      </c>
      <c r="AB31" s="83">
        <v>2822</v>
      </c>
      <c r="AC31" s="74">
        <v>1181</v>
      </c>
      <c r="AD31" s="86">
        <v>853</v>
      </c>
      <c r="AE31" s="86">
        <v>-525</v>
      </c>
      <c r="AF31" s="74">
        <v>-2428</v>
      </c>
      <c r="AG31" s="74">
        <v>-4528</v>
      </c>
      <c r="AH31" s="74">
        <v>-6693</v>
      </c>
      <c r="AI31" s="74">
        <v>-8990</v>
      </c>
      <c r="AK31" s="65"/>
    </row>
    <row r="32" spans="1:37" ht="13.5">
      <c r="A32" s="1">
        <f t="shared" si="2"/>
        <v>2000</v>
      </c>
      <c r="B32" s="85">
        <f>B31*(1+$C$15)</f>
        <v>15934.610411720132</v>
      </c>
      <c r="C32" s="85">
        <f>C31*(1+$D$15)</f>
        <v>10312.689361253817</v>
      </c>
      <c r="D32" s="2">
        <f t="shared" si="3"/>
        <v>2243.593145970195</v>
      </c>
      <c r="E32" s="2">
        <f t="shared" si="3"/>
        <v>693.0127250762564</v>
      </c>
      <c r="G32" s="1">
        <f t="shared" si="4"/>
        <v>1998</v>
      </c>
      <c r="H32" s="85">
        <f>H31*(1+$H$12)</f>
        <v>50569.769396231524</v>
      </c>
      <c r="I32" s="85">
        <f>I31*(1+$I$12)</f>
        <v>22318.263452435975</v>
      </c>
      <c r="J32" s="2">
        <f>H32/H31*J31*H11/H7</f>
        <v>4733.330415487272</v>
      </c>
      <c r="L32" s="2">
        <f>I32/I31*L31*I11/I7</f>
        <v>1740.824549290006</v>
      </c>
      <c r="Q32" s="73">
        <v>0.18</v>
      </c>
      <c r="R32" s="74">
        <v>4790.26</v>
      </c>
      <c r="S32" s="74">
        <v>3281</v>
      </c>
      <c r="T32" s="74">
        <v>2952.9</v>
      </c>
      <c r="U32" s="74">
        <v>1706.12</v>
      </c>
      <c r="V32" s="74">
        <v>0</v>
      </c>
      <c r="W32" s="74">
        <v>-1837.36</v>
      </c>
      <c r="X32" s="74">
        <v>-3805.96</v>
      </c>
      <c r="Y32" s="74">
        <v>-5905.8</v>
      </c>
      <c r="AK32" s="65"/>
    </row>
    <row r="33" spans="1:37" ht="13.5">
      <c r="A33" s="1">
        <f t="shared" si="2"/>
        <v>2001</v>
      </c>
      <c r="B33" s="85">
        <f aca="true" t="shared" si="6" ref="B33:B38">B32*(1+$C$15)</f>
        <v>16731.34093230614</v>
      </c>
      <c r="C33" s="85">
        <f aca="true" t="shared" si="7" ref="C33:C38">C32*(1+$D$15)</f>
        <v>10828.323829316509</v>
      </c>
      <c r="D33" s="2">
        <f t="shared" si="3"/>
        <v>2355.772803268705</v>
      </c>
      <c r="E33" s="2">
        <f t="shared" si="3"/>
        <v>727.6633613300693</v>
      </c>
      <c r="G33" s="1">
        <f t="shared" si="4"/>
        <v>1999</v>
      </c>
      <c r="H33" s="85">
        <f aca="true" t="shared" si="8" ref="H33:H38">H32*(1+$H$12)</f>
        <v>53603.955560005415</v>
      </c>
      <c r="I33" s="85">
        <f aca="true" t="shared" si="9" ref="I33:I38">I32*(1+$I$12)</f>
        <v>23657.359259582136</v>
      </c>
      <c r="J33" s="2">
        <f t="shared" si="5"/>
        <v>5017.330240416509</v>
      </c>
      <c r="L33" s="2">
        <f aca="true" t="shared" si="10" ref="L33:L38">I33/I32*L32</f>
        <v>1845.2740222474065</v>
      </c>
      <c r="Q33" s="73">
        <v>0.2</v>
      </c>
      <c r="R33" s="74">
        <v>2821.66</v>
      </c>
      <c r="S33" s="74">
        <v>1181.16</v>
      </c>
      <c r="T33" s="74">
        <v>853.06</v>
      </c>
      <c r="U33" s="74">
        <v>-524.96</v>
      </c>
      <c r="V33" s="74">
        <v>-2427.94</v>
      </c>
      <c r="W33" s="74">
        <v>-4527.78</v>
      </c>
      <c r="X33" s="74">
        <v>-6693.24</v>
      </c>
      <c r="Y33" s="74">
        <v>-8989.94</v>
      </c>
      <c r="AK33" s="65"/>
    </row>
    <row r="34" spans="1:12" ht="13.5">
      <c r="A34" s="1">
        <f t="shared" si="2"/>
        <v>2002</v>
      </c>
      <c r="B34" s="85">
        <f t="shared" si="6"/>
        <v>17567.907978921445</v>
      </c>
      <c r="C34" s="85">
        <f t="shared" si="7"/>
        <v>11369.740020782334</v>
      </c>
      <c r="D34" s="2">
        <f t="shared" si="3"/>
        <v>2473.5614434321405</v>
      </c>
      <c r="E34" s="2">
        <f t="shared" si="3"/>
        <v>764.0465293965727</v>
      </c>
      <c r="G34" s="1">
        <f t="shared" si="4"/>
        <v>2000</v>
      </c>
      <c r="H34" s="85">
        <f t="shared" si="8"/>
        <v>56820.192893605745</v>
      </c>
      <c r="I34" s="85">
        <f t="shared" si="9"/>
        <v>25076.800815157065</v>
      </c>
      <c r="J34" s="2">
        <f t="shared" si="5"/>
        <v>5318.3700548415</v>
      </c>
      <c r="L34" s="2">
        <f t="shared" si="10"/>
        <v>1955.9904635822509</v>
      </c>
    </row>
    <row r="35" spans="1:18" ht="13.5">
      <c r="A35" s="1">
        <f t="shared" si="2"/>
        <v>2003</v>
      </c>
      <c r="B35" s="85">
        <f t="shared" si="6"/>
        <v>18446.303377867516</v>
      </c>
      <c r="C35" s="85">
        <f t="shared" si="7"/>
        <v>11938.22702182145</v>
      </c>
      <c r="D35" s="2">
        <f t="shared" si="3"/>
        <v>2597.239515603748</v>
      </c>
      <c r="E35" s="2">
        <f t="shared" si="3"/>
        <v>802.2488558664014</v>
      </c>
      <c r="G35" s="1">
        <f t="shared" si="4"/>
        <v>2001</v>
      </c>
      <c r="H35" s="85">
        <f t="shared" si="8"/>
        <v>60229.40446722209</v>
      </c>
      <c r="I35" s="85">
        <f t="shared" si="9"/>
        <v>26581.40886406649</v>
      </c>
      <c r="J35" s="2">
        <f t="shared" si="5"/>
        <v>5637.47225813199</v>
      </c>
      <c r="L35" s="2">
        <f t="shared" si="10"/>
        <v>2073.349891397186</v>
      </c>
      <c r="R35" s="65">
        <f>R26-R27</f>
        <v>984.3000000000011</v>
      </c>
    </row>
    <row r="36" spans="1:18" ht="13.5">
      <c r="A36" s="1">
        <f t="shared" si="2"/>
        <v>2004</v>
      </c>
      <c r="B36" s="85">
        <f t="shared" si="6"/>
        <v>19368.618546760892</v>
      </c>
      <c r="C36" s="85">
        <f t="shared" si="7"/>
        <v>12535.138372912525</v>
      </c>
      <c r="D36" s="2">
        <f t="shared" si="3"/>
        <v>2727.1014913839354</v>
      </c>
      <c r="E36" s="2">
        <f t="shared" si="3"/>
        <v>842.3612986597216</v>
      </c>
      <c r="G36" s="1">
        <f t="shared" si="4"/>
        <v>2002</v>
      </c>
      <c r="H36" s="85">
        <f t="shared" si="8"/>
        <v>63843.16873525542</v>
      </c>
      <c r="I36" s="85">
        <f t="shared" si="9"/>
        <v>28176.293395910478</v>
      </c>
      <c r="J36" s="2">
        <f t="shared" si="5"/>
        <v>5975.72059361991</v>
      </c>
      <c r="L36" s="2">
        <f t="shared" si="10"/>
        <v>2197.7508848810176</v>
      </c>
      <c r="R36" s="65">
        <f>R27-R28</f>
        <v>984.2999999999993</v>
      </c>
    </row>
    <row r="37" spans="1:18" ht="13.5">
      <c r="A37" s="1">
        <f t="shared" si="2"/>
        <v>2005</v>
      </c>
      <c r="B37" s="85">
        <f t="shared" si="6"/>
        <v>20337.049474098938</v>
      </c>
      <c r="C37" s="85">
        <f t="shared" si="7"/>
        <v>13161.895291558152</v>
      </c>
      <c r="D37" s="2">
        <f t="shared" si="3"/>
        <v>2863.456565953132</v>
      </c>
      <c r="E37" s="2">
        <f t="shared" si="3"/>
        <v>884.4793635927077</v>
      </c>
      <c r="G37" s="1">
        <f t="shared" si="4"/>
        <v>2003</v>
      </c>
      <c r="H37" s="85">
        <f t="shared" si="8"/>
        <v>67673.75885937075</v>
      </c>
      <c r="I37" s="85">
        <f t="shared" si="9"/>
        <v>29866.87099966511</v>
      </c>
      <c r="J37" s="2">
        <f t="shared" si="5"/>
        <v>6334.263829237105</v>
      </c>
      <c r="L37" s="2">
        <f t="shared" si="10"/>
        <v>2329.6159379738788</v>
      </c>
      <c r="R37" s="65">
        <f>R28-R29</f>
        <v>1902.9799999999996</v>
      </c>
    </row>
    <row r="38" spans="1:18" ht="13.5">
      <c r="A38" s="1">
        <f t="shared" si="2"/>
        <v>2006</v>
      </c>
      <c r="B38" s="85">
        <f t="shared" si="6"/>
        <v>21353.901947803886</v>
      </c>
      <c r="C38" s="85">
        <f t="shared" si="7"/>
        <v>13819.990056136061</v>
      </c>
      <c r="D38" s="2">
        <f t="shared" si="3"/>
        <v>3006.629394250789</v>
      </c>
      <c r="E38" s="2">
        <f t="shared" si="3"/>
        <v>928.7033317723432</v>
      </c>
      <c r="G38" s="1">
        <f t="shared" si="4"/>
        <v>2004</v>
      </c>
      <c r="H38" s="85">
        <f t="shared" si="8"/>
        <v>71734.18439093299</v>
      </c>
      <c r="I38" s="85">
        <f t="shared" si="9"/>
        <v>31658.883259645016</v>
      </c>
      <c r="J38" s="2">
        <f t="shared" si="5"/>
        <v>6714.319658991331</v>
      </c>
      <c r="L38" s="2">
        <f t="shared" si="10"/>
        <v>2469.3928942523116</v>
      </c>
      <c r="R38" s="65">
        <f>R29-R30</f>
        <v>1968.6000000000004</v>
      </c>
    </row>
    <row r="39" ht="13.5">
      <c r="R39" s="65">
        <f>R30-R31</f>
        <v>1968.6000000000004</v>
      </c>
    </row>
    <row r="41" spans="2:12" ht="13.5">
      <c r="B41" s="2" t="s">
        <v>42</v>
      </c>
      <c r="C41" s="2" t="s">
        <v>42</v>
      </c>
      <c r="D41" s="2" t="s">
        <v>42</v>
      </c>
      <c r="E41" s="2" t="s">
        <v>42</v>
      </c>
      <c r="H41" s="2" t="s">
        <v>23</v>
      </c>
      <c r="I41" s="2" t="s">
        <v>23</v>
      </c>
      <c r="J41" s="2" t="s">
        <v>23</v>
      </c>
      <c r="L41" s="2" t="s">
        <v>23</v>
      </c>
    </row>
    <row r="42" spans="2:13" ht="13.5">
      <c r="B42" s="2" t="s">
        <v>43</v>
      </c>
      <c r="C42" s="2" t="s">
        <v>43</v>
      </c>
      <c r="D42" s="2" t="s">
        <v>46</v>
      </c>
      <c r="E42" s="2" t="s">
        <v>46</v>
      </c>
      <c r="H42" s="2" t="s">
        <v>43</v>
      </c>
      <c r="I42" s="2" t="s">
        <v>43</v>
      </c>
      <c r="J42" s="2" t="s">
        <v>46</v>
      </c>
      <c r="L42" s="2" t="s">
        <v>46</v>
      </c>
      <c r="M42" s="1" t="s">
        <v>49</v>
      </c>
    </row>
    <row r="43" spans="2:13" ht="13.5">
      <c r="B43" s="2" t="s">
        <v>44</v>
      </c>
      <c r="C43" s="2" t="s">
        <v>45</v>
      </c>
      <c r="D43" s="2" t="s">
        <v>47</v>
      </c>
      <c r="E43" s="2" t="s">
        <v>48</v>
      </c>
      <c r="H43" s="2" t="s">
        <v>44</v>
      </c>
      <c r="I43" s="2" t="s">
        <v>45</v>
      </c>
      <c r="J43" s="2" t="s">
        <v>47</v>
      </c>
      <c r="L43" s="2" t="s">
        <v>48</v>
      </c>
      <c r="M43" s="2" t="s">
        <v>48</v>
      </c>
    </row>
    <row r="44" spans="1:13" ht="13.5">
      <c r="A44" s="1">
        <f>A26</f>
        <v>1994</v>
      </c>
      <c r="B44" s="85">
        <f>B26</f>
        <v>6562</v>
      </c>
      <c r="C44" s="85">
        <f>C26</f>
        <v>6562</v>
      </c>
      <c r="D44" s="85">
        <v>705</v>
      </c>
      <c r="E44" s="2">
        <v>705</v>
      </c>
      <c r="G44" s="2">
        <f>G26</f>
        <v>1992</v>
      </c>
      <c r="H44" s="85">
        <f>H26</f>
        <v>13074</v>
      </c>
      <c r="I44" s="85">
        <v>13119</v>
      </c>
      <c r="J44" s="85">
        <v>1664</v>
      </c>
      <c r="L44" s="65">
        <v>1664</v>
      </c>
      <c r="M44" s="88">
        <f>L44/I44</f>
        <v>0.12683893589450415</v>
      </c>
    </row>
    <row r="45" spans="1:13" ht="13.5">
      <c r="A45" s="1">
        <f aca="true" t="shared" si="11" ref="A45:B50">A27</f>
        <v>1995</v>
      </c>
      <c r="B45" s="85">
        <f t="shared" si="11"/>
        <v>7759.9587200000005</v>
      </c>
      <c r="C45" s="85">
        <v>7003</v>
      </c>
      <c r="D45" s="85">
        <f aca="true" t="shared" si="12" ref="D45:D50">B45/B44*D44</f>
        <v>833.7048000000001</v>
      </c>
      <c r="E45" s="2">
        <v>490</v>
      </c>
      <c r="G45" s="2">
        <f aca="true" t="shared" si="13" ref="G45:H52">G27</f>
        <v>1993</v>
      </c>
      <c r="H45" s="85">
        <f t="shared" si="13"/>
        <v>16937.28541824</v>
      </c>
      <c r="I45" s="85">
        <v>14030</v>
      </c>
      <c r="J45" s="85">
        <f>H45/H44*J44</f>
        <v>2155.70161664</v>
      </c>
      <c r="L45" s="65">
        <v>2176</v>
      </c>
      <c r="M45" s="88">
        <f aca="true" t="shared" si="14" ref="M45:M51">L45/I45</f>
        <v>0.15509622238061296</v>
      </c>
    </row>
    <row r="46" spans="1:13" ht="13.5">
      <c r="A46" s="1">
        <f t="shared" si="11"/>
        <v>1996</v>
      </c>
      <c r="B46" s="85">
        <f t="shared" si="11"/>
        <v>9176.6167839232</v>
      </c>
      <c r="C46" s="85">
        <v>6676</v>
      </c>
      <c r="D46" s="85">
        <f t="shared" si="12"/>
        <v>985.9059482880001</v>
      </c>
      <c r="E46" s="2">
        <v>531</v>
      </c>
      <c r="G46" s="2">
        <f t="shared" si="13"/>
        <v>1994</v>
      </c>
      <c r="H46" s="85">
        <f t="shared" si="13"/>
        <v>21942.147570668913</v>
      </c>
      <c r="I46" s="85">
        <v>16264</v>
      </c>
      <c r="J46" s="85">
        <f aca="true" t="shared" si="15" ref="J46:J51">H46/H45*J45</f>
        <v>2792.697992779032</v>
      </c>
      <c r="L46" s="65">
        <v>2554</v>
      </c>
      <c r="M46" s="88">
        <f t="shared" si="14"/>
        <v>0.15703393999016232</v>
      </c>
    </row>
    <row r="47" spans="1:13" ht="13.5">
      <c r="A47" s="1">
        <f t="shared" si="11"/>
        <v>1997</v>
      </c>
      <c r="B47" s="85">
        <f t="shared" si="11"/>
        <v>10851.89994399622</v>
      </c>
      <c r="C47" s="85">
        <v>6830</v>
      </c>
      <c r="D47" s="85">
        <f t="shared" si="12"/>
        <v>1165.8929382074575</v>
      </c>
      <c r="E47" s="2">
        <v>564</v>
      </c>
      <c r="G47" s="2">
        <f t="shared" si="13"/>
        <v>1995</v>
      </c>
      <c r="H47" s="85">
        <f t="shared" si="13"/>
        <v>28425.915258800735</v>
      </c>
      <c r="I47" s="85">
        <v>18127</v>
      </c>
      <c r="J47" s="85">
        <f t="shared" si="15"/>
        <v>3617.922823209761</v>
      </c>
      <c r="L47" s="65">
        <v>2986</v>
      </c>
      <c r="M47" s="88">
        <f t="shared" si="14"/>
        <v>0.16472665085231974</v>
      </c>
    </row>
    <row r="48" spans="1:13" ht="13.5">
      <c r="A48" s="1">
        <f t="shared" si="11"/>
        <v>1998</v>
      </c>
      <c r="B48" s="85">
        <f t="shared" si="11"/>
        <v>12833.022797772172</v>
      </c>
      <c r="C48" s="85">
        <v>6762</v>
      </c>
      <c r="D48" s="85">
        <f t="shared" si="12"/>
        <v>1378.738353006611</v>
      </c>
      <c r="E48" s="2">
        <v>503</v>
      </c>
      <c r="G48" s="2">
        <f t="shared" si="13"/>
        <v>1996</v>
      </c>
      <c r="H48" s="85">
        <f t="shared" si="13"/>
        <v>36825.595840065136</v>
      </c>
      <c r="I48" s="85">
        <v>18673</v>
      </c>
      <c r="J48" s="85">
        <f t="shared" si="15"/>
        <v>4686.996441629829</v>
      </c>
      <c r="L48" s="65">
        <v>3492</v>
      </c>
      <c r="M48" s="88">
        <f t="shared" si="14"/>
        <v>0.18700797943554864</v>
      </c>
    </row>
    <row r="49" spans="1:13" ht="13.5">
      <c r="A49" s="1">
        <f t="shared" si="11"/>
        <v>1999</v>
      </c>
      <c r="B49" s="85">
        <f t="shared" si="11"/>
        <v>15175.81943973346</v>
      </c>
      <c r="C49" s="85">
        <v>6984</v>
      </c>
      <c r="D49" s="85">
        <f t="shared" si="12"/>
        <v>1630.440826731498</v>
      </c>
      <c r="E49" s="2">
        <v>338</v>
      </c>
      <c r="G49" s="2">
        <f t="shared" si="13"/>
        <v>1997</v>
      </c>
      <c r="H49" s="85">
        <f t="shared" si="13"/>
        <v>47707.32961908634</v>
      </c>
      <c r="I49" s="85">
        <v>18868</v>
      </c>
      <c r="J49" s="85">
        <f t="shared" si="15"/>
        <v>6071.974643273647</v>
      </c>
      <c r="L49" s="65">
        <v>4129</v>
      </c>
      <c r="M49" s="88">
        <f t="shared" si="14"/>
        <v>0.21883612465550137</v>
      </c>
    </row>
    <row r="50" spans="1:13" ht="13.5">
      <c r="A50" s="1">
        <f t="shared" si="11"/>
        <v>2000</v>
      </c>
      <c r="B50" s="85">
        <f t="shared" si="11"/>
        <v>15934.610411720132</v>
      </c>
      <c r="C50" s="85">
        <v>6955</v>
      </c>
      <c r="D50" s="85">
        <f t="shared" si="12"/>
        <v>1711.962868068073</v>
      </c>
      <c r="E50" s="89">
        <f>1.45*405</f>
        <v>587.25</v>
      </c>
      <c r="G50" s="2">
        <f t="shared" si="13"/>
        <v>1998</v>
      </c>
      <c r="H50" s="85">
        <f t="shared" si="13"/>
        <v>50569.769396231524</v>
      </c>
      <c r="I50" s="85">
        <v>18813</v>
      </c>
      <c r="J50" s="85">
        <f t="shared" si="15"/>
        <v>6436.293121870067</v>
      </c>
      <c r="L50" s="65">
        <v>3533</v>
      </c>
      <c r="M50" s="88">
        <f t="shared" si="14"/>
        <v>0.18779567320469887</v>
      </c>
    </row>
    <row r="51" spans="2:13" ht="13.5">
      <c r="B51" s="90">
        <f>(B50/B44)^(1/6)-1</f>
        <v>0.15935793094889728</v>
      </c>
      <c r="C51" s="90">
        <f>(C50/C44)^(1/6)-1</f>
        <v>0.009741373080911053</v>
      </c>
      <c r="D51" s="90">
        <f>(D50/D44)^(1/6)-1</f>
        <v>0.15935793094889728</v>
      </c>
      <c r="E51" s="90">
        <f>(E50/E44)^(1/6)-1</f>
        <v>-0.02999869605479777</v>
      </c>
      <c r="G51" s="2">
        <f t="shared" si="13"/>
        <v>1999</v>
      </c>
      <c r="H51" s="85">
        <f t="shared" si="13"/>
        <v>53603.955560005415</v>
      </c>
      <c r="I51" s="85">
        <v>19805</v>
      </c>
      <c r="J51" s="85">
        <f t="shared" si="15"/>
        <v>6822.470709182271</v>
      </c>
      <c r="L51" s="65">
        <v>2431</v>
      </c>
      <c r="M51" s="88">
        <f t="shared" si="14"/>
        <v>0.12274678111587983</v>
      </c>
    </row>
    <row r="52" spans="7:13" ht="13.5">
      <c r="G52" s="2">
        <v>2000</v>
      </c>
      <c r="H52" s="85">
        <f t="shared" si="13"/>
        <v>56820.192893605745</v>
      </c>
      <c r="I52" s="85">
        <v>20458</v>
      </c>
      <c r="J52" s="85">
        <f>H52/H51*J51</f>
        <v>7231.8189517332075</v>
      </c>
      <c r="L52" s="65">
        <f>0.88*2479.79</f>
        <v>2182.2152</v>
      </c>
      <c r="M52" s="88">
        <f>L52/I52</f>
        <v>0.10666806139407567</v>
      </c>
    </row>
    <row r="53" spans="2:14" ht="13.5">
      <c r="B53" s="1"/>
      <c r="H53" s="90">
        <f>(H52/H44)^(1/8)-1</f>
        <v>0.20160514133096985</v>
      </c>
      <c r="I53" s="90">
        <f>(I52/I44)^(1/8)-1</f>
        <v>0.05711030209701429</v>
      </c>
      <c r="J53" s="90">
        <f>(J52/J44)^(1/8)-1</f>
        <v>0.20160514133096985</v>
      </c>
      <c r="K53" s="85"/>
      <c r="L53" s="90">
        <f>(L52/L44)^(1/8)-1</f>
        <v>0.03447031281510693</v>
      </c>
      <c r="M53" s="65"/>
      <c r="N53" s="88"/>
    </row>
    <row r="54" spans="2:11" ht="3.75" customHeight="1">
      <c r="B54" s="1"/>
      <c r="K54" s="2"/>
    </row>
    <row r="55" spans="2:11" ht="8.25" customHeight="1">
      <c r="B55" s="1"/>
      <c r="K55" s="2"/>
    </row>
    <row r="56" spans="2:11" ht="8.25" customHeight="1">
      <c r="B56" s="1"/>
      <c r="K56" s="2"/>
    </row>
    <row r="57" spans="2:11" ht="8.25" customHeight="1">
      <c r="B57" s="1"/>
      <c r="K57" s="2"/>
    </row>
    <row r="58" spans="2:11" ht="8.25" customHeight="1">
      <c r="B58" s="1"/>
      <c r="K58" s="2"/>
    </row>
    <row r="59" spans="2:11" ht="8.25" customHeight="1">
      <c r="B59" s="1"/>
      <c r="K59" s="2"/>
    </row>
    <row r="60" spans="2:11" ht="8.25" customHeight="1">
      <c r="B60" s="1"/>
      <c r="K60" s="2"/>
    </row>
    <row r="61" spans="2:11" ht="8.25" customHeight="1">
      <c r="B61" s="1"/>
      <c r="K61" s="2"/>
    </row>
    <row r="62" spans="2:11" ht="8.25" customHeight="1">
      <c r="B62" s="1"/>
      <c r="K62" s="2"/>
    </row>
    <row r="63" spans="2:11" ht="8.25" customHeight="1">
      <c r="B63" s="1"/>
      <c r="K63" s="2"/>
    </row>
    <row r="64" spans="2:11" ht="8.25" customHeight="1">
      <c r="B64" s="1"/>
      <c r="K64" s="2"/>
    </row>
    <row r="65" spans="2:11" ht="8.25" customHeight="1">
      <c r="B65" s="1"/>
      <c r="K65" s="2"/>
    </row>
    <row r="66" spans="2:11" ht="8.25" customHeight="1">
      <c r="B66" s="1"/>
      <c r="K66" s="2"/>
    </row>
    <row r="67" spans="2:11" ht="8.25" customHeight="1">
      <c r="B67" s="1"/>
      <c r="K67" s="2"/>
    </row>
    <row r="68" spans="2:11" ht="8.25" customHeight="1">
      <c r="B68" s="1"/>
      <c r="K68" s="2"/>
    </row>
    <row r="69" spans="2:11" ht="8.25" customHeight="1">
      <c r="B69" s="1"/>
      <c r="K69" s="2"/>
    </row>
    <row r="70" spans="2:11" ht="8.25" customHeight="1">
      <c r="B70" s="1"/>
      <c r="K70" s="2"/>
    </row>
    <row r="71" spans="2:11" ht="8.25" customHeight="1">
      <c r="B71" s="1"/>
      <c r="K71" s="2"/>
    </row>
    <row r="72" spans="2:11" ht="8.25" customHeight="1">
      <c r="B72" s="1"/>
      <c r="K72" s="2"/>
    </row>
    <row r="73" spans="2:11" ht="8.25" customHeight="1">
      <c r="B73" s="1"/>
      <c r="K73" s="2"/>
    </row>
    <row r="74" spans="2:11" ht="8.25" customHeight="1">
      <c r="B74" s="1"/>
      <c r="K74" s="2"/>
    </row>
    <row r="75" spans="2:11" ht="13.5">
      <c r="B75" s="1"/>
      <c r="K75" s="2"/>
    </row>
  </sheetData>
  <mergeCells count="5">
    <mergeCell ref="AB22:AI22"/>
    <mergeCell ref="C2:E2"/>
    <mergeCell ref="H2:J2"/>
    <mergeCell ref="N2:P2"/>
    <mergeCell ref="R22:Y2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2004-02-12T10:52:12Z</dcterms:created>
  <dcterms:modified xsi:type="dcterms:W3CDTF">2004-03-11T17:01:51Z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