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7440" windowHeight="10335" activeTab="0"/>
  </bookViews>
  <sheets>
    <sheet name="Tables1-12" sheetId="1" r:id="rId1"/>
  </sheets>
  <definedNames>
    <definedName name="_xlnm.Print_Area" localSheetId="0">'Tables1-12'!$A$1:$P$149</definedName>
  </definedNames>
  <calcPr calcMode="manual" fullCalcOnLoad="1" iterate="1" iterateCount="100" iterateDelta="1E-07"/>
</workbook>
</file>

<file path=xl/sharedStrings.xml><?xml version="1.0" encoding="utf-8"?>
<sst xmlns="http://schemas.openxmlformats.org/spreadsheetml/2006/main" count="1015" uniqueCount="141">
  <si>
    <t>Beta U</t>
  </si>
  <si>
    <t xml:space="preserve">T = </t>
  </si>
  <si>
    <t>Rf</t>
  </si>
  <si>
    <t>taxes</t>
  </si>
  <si>
    <t>r</t>
  </si>
  <si>
    <t>Kd</t>
  </si>
  <si>
    <t>WCR (net current assets)</t>
  </si>
  <si>
    <t>Gross fixed assets</t>
  </si>
  <si>
    <t xml:space="preserve"> - cum. depreciation</t>
  </si>
  <si>
    <t>Net fixed assets</t>
  </si>
  <si>
    <t>TOTAL ASSETS</t>
  </si>
  <si>
    <t>WCR</t>
  </si>
  <si>
    <t>Income statement</t>
  </si>
  <si>
    <t>Sales</t>
  </si>
  <si>
    <t>Cost of sales</t>
  </si>
  <si>
    <t>General expenses</t>
  </si>
  <si>
    <t>Depreciation</t>
  </si>
  <si>
    <t>Margin</t>
  </si>
  <si>
    <t>Interest payments</t>
  </si>
  <si>
    <t>Extraordinary items</t>
  </si>
  <si>
    <t>PBT</t>
  </si>
  <si>
    <t>Taxes</t>
  </si>
  <si>
    <t>PAT (net income)</t>
  </si>
  <si>
    <t xml:space="preserve"> + Depreciation</t>
  </si>
  <si>
    <t xml:space="preserve"> + ∆ Debt</t>
  </si>
  <si>
    <t xml:space="preserve"> - ∆ WCR</t>
  </si>
  <si>
    <t xml:space="preserve"> - Investments in fixed assets</t>
  </si>
  <si>
    <t xml:space="preserve"> - Inversiones</t>
  </si>
  <si>
    <t>Otros Activos</t>
  </si>
  <si>
    <t xml:space="preserve"> - Otros ajustes</t>
  </si>
  <si>
    <t>Equity Cash Flow = Dividends</t>
  </si>
  <si>
    <t>FCF</t>
  </si>
  <si>
    <t>CFd</t>
  </si>
  <si>
    <t>CCF</t>
  </si>
  <si>
    <t>VALUATION. NO-COST-OF-LEVERAGE</t>
  </si>
  <si>
    <t>BETAu</t>
  </si>
  <si>
    <t>Ku</t>
  </si>
  <si>
    <t>1  /  [(1+Ku1)x(1+Ku2)..]</t>
  </si>
  <si>
    <t>PVo  FCF t</t>
  </si>
  <si>
    <t>Vu = PV (Ku;FCF)</t>
  </si>
  <si>
    <t>Crecimiento de Vu</t>
  </si>
  <si>
    <t>N</t>
  </si>
  <si>
    <t>1  /  [(1+Kd1)x(1+Kd2)..]</t>
  </si>
  <si>
    <t>PVo  CFd t</t>
  </si>
  <si>
    <t>D = PV(CFd;Kd)</t>
  </si>
  <si>
    <t>Beta d</t>
  </si>
  <si>
    <t>D T Ku + T (Nr - DKd)</t>
  </si>
  <si>
    <t>PVo  D T Ku t</t>
  </si>
  <si>
    <t xml:space="preserve"> - D =</t>
  </si>
  <si>
    <t>E 1</t>
  </si>
  <si>
    <t>Crecimiento de E</t>
  </si>
  <si>
    <t>BETAe</t>
  </si>
  <si>
    <t>Ke</t>
  </si>
  <si>
    <t>1  /  [(1+Ke1)x(1+Ke2)..]</t>
  </si>
  <si>
    <t>PVo  ECF t</t>
  </si>
  <si>
    <t>E 2 = PV(Ke;ECF)</t>
  </si>
  <si>
    <t>Et = Et-1 x (1+Ke) - ECF</t>
  </si>
  <si>
    <t>WACC</t>
  </si>
  <si>
    <t>1  /  [(1+wacc1)x(1+wacc2)..]</t>
  </si>
  <si>
    <t>D + E =</t>
  </si>
  <si>
    <t>PV(WACC;FCF)</t>
  </si>
  <si>
    <t>E 3</t>
  </si>
  <si>
    <t>(D+E)t = (D+E)t-1 x (1+WACC)-FCF</t>
  </si>
  <si>
    <r>
      <t>WACC</t>
    </r>
    <r>
      <rPr>
        <b/>
        <vertAlign val="subscript"/>
        <sz val="9"/>
        <rFont val="Tms Rmn"/>
        <family val="0"/>
      </rPr>
      <t>BT</t>
    </r>
  </si>
  <si>
    <r>
      <t>1  /  [(1+WACC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1)x(1+WACC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2)..]</t>
    </r>
  </si>
  <si>
    <t>PVo  CCF t</t>
  </si>
  <si>
    <t>PV(WACCBT;CCF)</t>
  </si>
  <si>
    <t>E 4</t>
  </si>
  <si>
    <t>EP (economic profit)</t>
  </si>
  <si>
    <t>EVA</t>
  </si>
  <si>
    <t>PVo  EP t</t>
  </si>
  <si>
    <t>PV(Ke;EP)</t>
  </si>
  <si>
    <t xml:space="preserve"> +Ebv=</t>
  </si>
  <si>
    <t>E5</t>
  </si>
  <si>
    <t>PVo  EVA t</t>
  </si>
  <si>
    <t>PV(WACC;EVA)</t>
  </si>
  <si>
    <t xml:space="preserve"> +Ebv -(D-N)=   E6</t>
  </si>
  <si>
    <t>ECF\\Ku</t>
  </si>
  <si>
    <t>FCF\\Ku</t>
  </si>
  <si>
    <t>E7 = PV(Ku;ECF\\Ku)</t>
  </si>
  <si>
    <t>D + E''' =</t>
  </si>
  <si>
    <t>PV(Ku;FCF\\Ku)</t>
  </si>
  <si>
    <t>E 8</t>
  </si>
  <si>
    <t>Debt (N)</t>
  </si>
  <si>
    <t>Equity (book value)</t>
  </si>
  <si>
    <t>Market Risk Premium</t>
  </si>
  <si>
    <t>ECF\\Rf</t>
  </si>
  <si>
    <t>FCF\\Rf</t>
  </si>
  <si>
    <t>PV(Rf;FCF\\Rf)</t>
  </si>
  <si>
    <t>D + E  =</t>
  </si>
  <si>
    <t>E 9</t>
  </si>
  <si>
    <t>1  /  [(1+Rf1)x(1+Rf2)..]</t>
  </si>
  <si>
    <r>
      <rPr>
        <b/>
        <sz val="9"/>
        <rFont val="Tms Rmn"/>
        <family val="0"/>
      </rPr>
      <t xml:space="preserve">E 10 </t>
    </r>
    <r>
      <rPr>
        <sz val="9"/>
        <rFont val="Tms Rmn"/>
        <family val="0"/>
      </rPr>
      <t>= PV(Rf;ECF\\Rf)</t>
    </r>
  </si>
  <si>
    <t>VALUATION. DAMODARAN</t>
  </si>
  <si>
    <t>Tax rate (T)</t>
  </si>
  <si>
    <t xml:space="preserve">  ****</t>
  </si>
  <si>
    <t>VALUATION. Practitioners</t>
  </si>
  <si>
    <t>VALUATION. Harris &amp; Pringle; Ruback</t>
  </si>
  <si>
    <t>VALUATION. Myers</t>
  </si>
  <si>
    <t>VALUATION. Miles &amp; Ezzell</t>
  </si>
  <si>
    <t>VALUATION. Modigliani &amp; Miller</t>
  </si>
  <si>
    <t>VALUATION. Miller</t>
  </si>
  <si>
    <t>PV(Ku;D T Ku) = VTS</t>
  </si>
  <si>
    <t>VTS + Vu</t>
  </si>
  <si>
    <t>PV(Ku;D T Ku-D(Kd-Rf)(1-T)) = VTS</t>
  </si>
  <si>
    <t>D T Ku + T (Nr - DKd)…</t>
  </si>
  <si>
    <t>PV(Ku;D T Kd-D(Kd-Rf)) = VTS</t>
  </si>
  <si>
    <t>D T Kd ...</t>
  </si>
  <si>
    <t xml:space="preserve">D T Kd </t>
  </si>
  <si>
    <t>PV(Ku;D T Kd) = VTS</t>
  </si>
  <si>
    <t>PV(Kd;D T Kd) = VTS</t>
  </si>
  <si>
    <t>PVo  D T Kd</t>
  </si>
  <si>
    <t>PV(Ku;D T Kd) (1+Ku) / (1+Kd) = VTS</t>
  </si>
  <si>
    <t>D T Kd</t>
  </si>
  <si>
    <t>VTS = 0</t>
  </si>
  <si>
    <t>MRP (Market Risk Premium)</t>
  </si>
  <si>
    <t>VALUATION. With cost of leverage theory</t>
  </si>
  <si>
    <t>PV(Ku;D ( T Ku + Rf - Kd) = VTS</t>
  </si>
  <si>
    <t xml:space="preserve">D T Ku + </t>
  </si>
  <si>
    <t>PV(Rf;D T Rf) = VTS</t>
  </si>
  <si>
    <t>D T Rf</t>
  </si>
  <si>
    <t>PVo  D T Rf t</t>
  </si>
  <si>
    <t>ECF = Dividends</t>
  </si>
  <si>
    <t>Table 3</t>
  </si>
  <si>
    <t>g=</t>
  </si>
  <si>
    <t>Practitioners</t>
  </si>
  <si>
    <t>Myers</t>
  </si>
  <si>
    <t>Miles &amp; Ezzell</t>
  </si>
  <si>
    <t>Miller</t>
  </si>
  <si>
    <t>Modigliani &amp; Miller</t>
  </si>
  <si>
    <t>VTS</t>
  </si>
  <si>
    <t>Ke t=0</t>
  </si>
  <si>
    <t>Ke t=4</t>
  </si>
  <si>
    <t>Fernandez</t>
  </si>
  <si>
    <t>Damodaran</t>
  </si>
  <si>
    <t>Harris &amp; Pringle</t>
  </si>
  <si>
    <t>With cost of leverage</t>
  </si>
  <si>
    <t>E</t>
  </si>
  <si>
    <r>
      <t>WACC</t>
    </r>
    <r>
      <rPr>
        <b/>
        <vertAlign val="subscript"/>
        <sz val="9"/>
        <rFont val="Arial Narrow"/>
        <family val="2"/>
      </rPr>
      <t>BT</t>
    </r>
  </si>
  <si>
    <t>Table 12</t>
  </si>
  <si>
    <t xml:space="preserve">TOTAL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</si>
</sst>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d/m/yy\ h:mm"/>
    <numFmt numFmtId="181" formatCode="0.000000"/>
    <numFmt numFmtId="182" formatCode="0.0000%"/>
    <numFmt numFmtId="183" formatCode="0.0000"/>
    <numFmt numFmtId="184" formatCode="0.0000000"/>
    <numFmt numFmtId="185" formatCode="0.000%"/>
    <numFmt numFmtId="186" formatCode="#,##0.0"/>
    <numFmt numFmtId="187" formatCode="0.0%"/>
    <numFmt numFmtId="188" formatCode="#,##0.0&quot;Pts&quot;;[Red]\-#,##0.0&quot;Pts&quot;"/>
    <numFmt numFmtId="189" formatCode="0.000"/>
    <numFmt numFmtId="190" formatCode="#,##0.000"/>
    <numFmt numFmtId="191" formatCode="#,##0.0000"/>
    <numFmt numFmtId="192" formatCode="0.0"/>
    <numFmt numFmtId="193" formatCode="#,##0.00000000000"/>
    <numFmt numFmtId="194" formatCode="#,##0.0000000000"/>
    <numFmt numFmtId="195" formatCode="#,##0.000000000"/>
    <numFmt numFmtId="196" formatCode="0.000000%"/>
    <numFmt numFmtId="197" formatCode="#,##0.00000"/>
    <numFmt numFmtId="198" formatCode="0.00000"/>
  </numFmts>
  <fonts count="54">
    <font>
      <sz val="9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i/>
      <sz val="9"/>
      <name val="Tms Rmn"/>
      <family val="0"/>
    </font>
    <font>
      <i/>
      <sz val="9"/>
      <name val="Tms Rmn"/>
      <family val="0"/>
    </font>
    <font>
      <b/>
      <sz val="9"/>
      <name val="Tms Rmn"/>
      <family val="0"/>
    </font>
    <font>
      <b/>
      <sz val="10"/>
      <name val="Tms Rmn"/>
      <family val="0"/>
    </font>
    <font>
      <b/>
      <vertAlign val="subscript"/>
      <sz val="9"/>
      <name val="Tms Rmn"/>
      <family val="0"/>
    </font>
    <font>
      <vertAlign val="subscript"/>
      <sz val="9"/>
      <name val="Tms Rmn"/>
      <family val="0"/>
    </font>
    <font>
      <b/>
      <sz val="12"/>
      <name val="Tms Rmn"/>
      <family val="0"/>
    </font>
    <font>
      <b/>
      <u val="single"/>
      <sz val="14"/>
      <name val="Tms Rmn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b/>
      <vertAlign val="subscript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39"/>
      <name val="Tms Rmn"/>
      <family val="0"/>
    </font>
    <font>
      <u val="single"/>
      <sz val="9"/>
      <color indexed="36"/>
      <name val="Tms Rm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ms Rmn"/>
      <family val="0"/>
    </font>
    <font>
      <u val="single"/>
      <sz val="9"/>
      <color theme="11"/>
      <name val="Tms Rmn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79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0" fillId="0" borderId="10" xfId="0" applyNumberFormat="1" applyBorder="1" applyAlignment="1">
      <alignment/>
    </xf>
    <xf numFmtId="10" fontId="5" fillId="0" borderId="0" xfId="0" applyNumberFormat="1" applyFont="1" applyAlignment="1">
      <alignment/>
    </xf>
    <xf numFmtId="10" fontId="7" fillId="0" borderId="0" xfId="0" applyNumberFormat="1" applyFont="1" applyAlignment="1">
      <alignment horizontal="left"/>
    </xf>
    <xf numFmtId="10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0" fontId="5" fillId="0" borderId="0" xfId="0" applyNumberFormat="1" applyFont="1" applyAlignment="1">
      <alignment horizontal="left"/>
    </xf>
    <xf numFmtId="1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0" fillId="0" borderId="11" xfId="0" applyNumberFormat="1" applyFont="1" applyBorder="1" applyAlignment="1">
      <alignment/>
    </xf>
    <xf numFmtId="4" fontId="5" fillId="0" borderId="0" xfId="0" applyNumberFormat="1" applyFont="1" applyAlignment="1">
      <alignment horizontal="right"/>
    </xf>
    <xf numFmtId="3" fontId="0" fillId="0" borderId="11" xfId="0" applyNumberFormat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0" fillId="0" borderId="11" xfId="0" applyNumberFormat="1" applyFont="1" applyBorder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right"/>
    </xf>
    <xf numFmtId="3" fontId="7" fillId="0" borderId="12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9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>
      <alignment horizontal="right"/>
    </xf>
    <xf numFmtId="3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10" fontId="5" fillId="0" borderId="0" xfId="0" applyNumberFormat="1" applyFont="1" applyAlignment="1">
      <alignment horizontal="right"/>
    </xf>
    <xf numFmtId="183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7" fillId="0" borderId="11" xfId="0" applyFont="1" applyBorder="1" applyAlignment="1">
      <alignment horizontal="center"/>
    </xf>
    <xf numFmtId="184" fontId="0" fillId="0" borderId="0" xfId="0" applyNumberFormat="1" applyFont="1" applyAlignment="1">
      <alignment/>
    </xf>
    <xf numFmtId="0" fontId="7" fillId="0" borderId="11" xfId="0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185" fontId="7" fillId="0" borderId="0" xfId="0" applyNumberFormat="1" applyFont="1" applyAlignment="1">
      <alignment/>
    </xf>
    <xf numFmtId="10" fontId="7" fillId="0" borderId="10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4" fontId="7" fillId="0" borderId="11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10" fontId="0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10" fontId="6" fillId="0" borderId="13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191" fontId="5" fillId="0" borderId="0" xfId="0" applyNumberFormat="1" applyFont="1" applyAlignment="1">
      <alignment horizontal="right"/>
    </xf>
    <xf numFmtId="0" fontId="7" fillId="0" borderId="13" xfId="0" applyFont="1" applyBorder="1" applyAlignment="1">
      <alignment/>
    </xf>
    <xf numFmtId="9" fontId="7" fillId="0" borderId="13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186" fontId="7" fillId="0" borderId="13" xfId="0" applyNumberFormat="1" applyFont="1" applyBorder="1" applyAlignment="1">
      <alignment/>
    </xf>
    <xf numFmtId="183" fontId="0" fillId="0" borderId="11" xfId="0" applyNumberFormat="1" applyFont="1" applyBorder="1" applyAlignment="1">
      <alignment/>
    </xf>
    <xf numFmtId="183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ont="1" applyBorder="1" applyAlignment="1">
      <alignment horizontal="right"/>
    </xf>
    <xf numFmtId="4" fontId="0" fillId="0" borderId="13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184" fontId="0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81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right"/>
    </xf>
    <xf numFmtId="10" fontId="5" fillId="0" borderId="0" xfId="0" applyNumberFormat="1" applyFont="1" applyBorder="1" applyAlignment="1">
      <alignment horizontal="left"/>
    </xf>
    <xf numFmtId="10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13" xfId="0" applyNumberFormat="1" applyBorder="1" applyAlignment="1">
      <alignment/>
    </xf>
    <xf numFmtId="0" fontId="11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4" fontId="7" fillId="0" borderId="13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10" fontId="7" fillId="0" borderId="11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0" fillId="0" borderId="15" xfId="0" applyFont="1" applyBorder="1" applyAlignment="1">
      <alignment horizontal="right"/>
    </xf>
    <xf numFmtId="2" fontId="5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right"/>
    </xf>
    <xf numFmtId="10" fontId="5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right"/>
    </xf>
    <xf numFmtId="10" fontId="5" fillId="0" borderId="20" xfId="0" applyNumberFormat="1" applyFont="1" applyBorder="1" applyAlignment="1">
      <alignment/>
    </xf>
    <xf numFmtId="0" fontId="0" fillId="0" borderId="21" xfId="0" applyFont="1" applyBorder="1" applyAlignment="1">
      <alignment horizontal="right"/>
    </xf>
    <xf numFmtId="10" fontId="0" fillId="0" borderId="22" xfId="0" applyNumberFormat="1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10" fontId="5" fillId="0" borderId="22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/>
    </xf>
    <xf numFmtId="185" fontId="7" fillId="0" borderId="10" xfId="0" applyNumberFormat="1" applyFont="1" applyBorder="1" applyAlignment="1">
      <alignment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0" fontId="7" fillId="0" borderId="0" xfId="53" applyNumberFormat="1" applyFont="1" applyAlignment="1">
      <alignment/>
    </xf>
    <xf numFmtId="10" fontId="7" fillId="0" borderId="10" xfId="53" applyNumberFormat="1" applyFont="1" applyBorder="1" applyAlignment="1">
      <alignment/>
    </xf>
    <xf numFmtId="10" fontId="7" fillId="0" borderId="22" xfId="53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183" fontId="0" fillId="0" borderId="12" xfId="0" applyNumberFormat="1" applyFont="1" applyBorder="1" applyAlignment="1">
      <alignment/>
    </xf>
    <xf numFmtId="0" fontId="6" fillId="0" borderId="10" xfId="0" applyFont="1" applyBorder="1" applyAlignment="1">
      <alignment/>
    </xf>
    <xf numFmtId="183" fontId="0" fillId="0" borderId="10" xfId="0" applyNumberFormat="1" applyFont="1" applyBorder="1" applyAlignment="1">
      <alignment/>
    </xf>
    <xf numFmtId="3" fontId="7" fillId="0" borderId="23" xfId="0" applyNumberFormat="1" applyFont="1" applyBorder="1" applyAlignment="1">
      <alignment horizontal="right"/>
    </xf>
    <xf numFmtId="1" fontId="7" fillId="0" borderId="13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10" fontId="0" fillId="0" borderId="0" xfId="0" applyNumberFormat="1" applyFont="1" applyAlignment="1">
      <alignment horizontal="left"/>
    </xf>
    <xf numFmtId="0" fontId="0" fillId="0" borderId="17" xfId="0" applyFont="1" applyBorder="1" applyAlignment="1">
      <alignment horizontal="right"/>
    </xf>
    <xf numFmtId="186" fontId="7" fillId="0" borderId="11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7" fillId="0" borderId="12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3" fontId="6" fillId="0" borderId="25" xfId="0" applyNumberFormat="1" applyFont="1" applyBorder="1" applyAlignment="1">
      <alignment/>
    </xf>
    <xf numFmtId="9" fontId="7" fillId="0" borderId="0" xfId="53" applyFont="1" applyBorder="1" applyAlignment="1">
      <alignment/>
    </xf>
    <xf numFmtId="0" fontId="6" fillId="0" borderId="0" xfId="0" applyFont="1" applyAlignment="1">
      <alignment horizontal="right"/>
    </xf>
    <xf numFmtId="183" fontId="0" fillId="0" borderId="0" xfId="0" applyNumberFormat="1" applyAlignment="1">
      <alignment/>
    </xf>
    <xf numFmtId="0" fontId="7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4" fontId="0" fillId="0" borderId="23" xfId="0" applyNumberFormat="1" applyFont="1" applyBorder="1" applyAlignment="1">
      <alignment/>
    </xf>
    <xf numFmtId="10" fontId="0" fillId="0" borderId="23" xfId="53" applyNumberFormat="1" applyFont="1" applyBorder="1" applyAlignment="1">
      <alignment/>
    </xf>
    <xf numFmtId="4" fontId="0" fillId="0" borderId="23" xfId="0" applyNumberFormat="1" applyBorder="1" applyAlignment="1">
      <alignment/>
    </xf>
    <xf numFmtId="10" fontId="0" fillId="0" borderId="23" xfId="53" applyNumberFormat="1" applyFont="1" applyBorder="1" applyAlignment="1">
      <alignment/>
    </xf>
    <xf numFmtId="2" fontId="13" fillId="0" borderId="23" xfId="0" applyNumberFormat="1" applyFont="1" applyBorder="1" applyAlignment="1">
      <alignment/>
    </xf>
    <xf numFmtId="0" fontId="14" fillId="0" borderId="23" xfId="0" applyFont="1" applyBorder="1" applyAlignment="1">
      <alignment horizontal="right"/>
    </xf>
    <xf numFmtId="189" fontId="0" fillId="0" borderId="23" xfId="0" applyNumberFormat="1" applyFont="1" applyBorder="1" applyAlignment="1">
      <alignment/>
    </xf>
    <xf numFmtId="189" fontId="0" fillId="0" borderId="23" xfId="0" applyNumberFormat="1" applyBorder="1" applyAlignment="1">
      <alignment/>
    </xf>
    <xf numFmtId="189" fontId="0" fillId="0" borderId="23" xfId="53" applyNumberFormat="1" applyFont="1" applyBorder="1" applyAlignment="1">
      <alignment/>
    </xf>
    <xf numFmtId="0" fontId="13" fillId="0" borderId="0" xfId="0" applyFont="1" applyAlignment="1">
      <alignment/>
    </xf>
    <xf numFmtId="10" fontId="0" fillId="0" borderId="0" xfId="53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urrency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06"/>
  <sheetViews>
    <sheetView tabSelected="1" zoomScalePageLayoutView="0" workbookViewId="0" topLeftCell="B1">
      <pane ySplit="5685" topLeftCell="A936" activePane="topLeft" state="split"/>
      <selection pane="topLeft" activeCell="S6" sqref="S6"/>
      <selection pane="bottomLeft" activeCell="Q946" sqref="Q946"/>
    </sheetView>
  </sheetViews>
  <sheetFormatPr defaultColWidth="11.00390625" defaultRowHeight="12"/>
  <cols>
    <col min="1" max="1" width="4.375" style="15" customWidth="1"/>
    <col min="2" max="2" width="8.75390625" style="4" customWidth="1"/>
    <col min="3" max="3" width="24.00390625" style="4" customWidth="1"/>
    <col min="4" max="6" width="10.00390625" style="4" customWidth="1"/>
    <col min="7" max="7" width="10.00390625" style="32" customWidth="1"/>
    <col min="8" max="8" width="10.00390625" style="4" customWidth="1"/>
    <col min="9" max="9" width="10.25390625" style="4" customWidth="1"/>
    <col min="10" max="11" width="10.25390625" style="0" customWidth="1"/>
    <col min="12" max="16" width="10.00390625" style="0" customWidth="1"/>
    <col min="17" max="17" width="12.25390625" style="0" customWidth="1"/>
    <col min="18" max="41" width="11.00390625" style="69" customWidth="1"/>
    <col min="42" max="16384" width="11.00390625" style="4" customWidth="1"/>
  </cols>
  <sheetData>
    <row r="1" spans="1:9" ht="16.5" thickBot="1">
      <c r="A1" s="16"/>
      <c r="B1" s="22"/>
      <c r="C1" s="120" t="s">
        <v>0</v>
      </c>
      <c r="D1" s="121">
        <v>1</v>
      </c>
      <c r="E1" s="126" t="s">
        <v>1</v>
      </c>
      <c r="F1" s="127">
        <f>H3</f>
        <v>0.35</v>
      </c>
      <c r="G1" s="26"/>
      <c r="H1" s="13"/>
      <c r="I1" s="109"/>
    </row>
    <row r="2" spans="1:9" ht="12" customHeight="1" thickBot="1">
      <c r="A2" s="16"/>
      <c r="B2" s="22"/>
      <c r="C2" s="122" t="s">
        <v>2</v>
      </c>
      <c r="D2" s="123">
        <v>0.06</v>
      </c>
      <c r="E2"/>
      <c r="F2" s="9"/>
      <c r="G2" s="26"/>
      <c r="H2" s="13"/>
      <c r="I2" s="17"/>
    </row>
    <row r="3" spans="1:15" ht="14.25" customHeight="1" thickBot="1">
      <c r="A3" s="16"/>
      <c r="B3" s="22"/>
      <c r="C3" s="153" t="s">
        <v>85</v>
      </c>
      <c r="D3" s="123">
        <v>0.04</v>
      </c>
      <c r="E3"/>
      <c r="F3" s="9"/>
      <c r="G3" s="151" t="s">
        <v>3</v>
      </c>
      <c r="H3" s="129">
        <v>0.35</v>
      </c>
      <c r="I3" s="17"/>
      <c r="N3" s="128" t="s">
        <v>124</v>
      </c>
      <c r="O3" s="141">
        <f>O5</f>
        <v>0.02</v>
      </c>
    </row>
    <row r="4" spans="1:8" ht="15" customHeight="1" thickBot="1">
      <c r="A4" s="16"/>
      <c r="B4" s="22"/>
      <c r="C4" s="122" t="s">
        <v>4</v>
      </c>
      <c r="D4" s="123">
        <v>0.08</v>
      </c>
      <c r="E4" s="22"/>
      <c r="F4" s="9"/>
      <c r="G4" s="26"/>
      <c r="H4" s="13"/>
    </row>
    <row r="5" spans="1:15" ht="12" customHeight="1" thickBot="1">
      <c r="A5" s="16"/>
      <c r="B5" s="22"/>
      <c r="C5" s="124" t="s">
        <v>5</v>
      </c>
      <c r="D5" s="125">
        <v>0.08</v>
      </c>
      <c r="E5" s="22"/>
      <c r="F5" s="9"/>
      <c r="G5" s="26"/>
      <c r="H5" s="13"/>
      <c r="M5" s="31"/>
      <c r="N5" s="128" t="s">
        <v>124</v>
      </c>
      <c r="O5" s="129">
        <v>0.02</v>
      </c>
    </row>
    <row r="6" spans="1:17" ht="12" customHeight="1" thickBot="1">
      <c r="A6" s="16"/>
      <c r="B6"/>
      <c r="C6"/>
      <c r="D6" s="103">
        <v>0</v>
      </c>
      <c r="E6" s="103">
        <v>1</v>
      </c>
      <c r="F6" s="103">
        <f aca="true" t="shared" si="0" ref="F6:Q6">E6+1</f>
        <v>2</v>
      </c>
      <c r="G6" s="111">
        <f t="shared" si="0"/>
        <v>3</v>
      </c>
      <c r="H6" s="103">
        <f t="shared" si="0"/>
        <v>4</v>
      </c>
      <c r="I6" s="103">
        <f t="shared" si="0"/>
        <v>5</v>
      </c>
      <c r="J6" s="103">
        <f t="shared" si="0"/>
        <v>6</v>
      </c>
      <c r="K6" s="103">
        <f t="shared" si="0"/>
        <v>7</v>
      </c>
      <c r="L6" s="103">
        <f t="shared" si="0"/>
        <v>8</v>
      </c>
      <c r="M6" s="111">
        <f t="shared" si="0"/>
        <v>9</v>
      </c>
      <c r="N6" s="103">
        <f t="shared" si="0"/>
        <v>10</v>
      </c>
      <c r="O6" s="103">
        <f t="shared" si="0"/>
        <v>11</v>
      </c>
      <c r="P6" s="103">
        <f t="shared" si="0"/>
        <v>12</v>
      </c>
      <c r="Q6" s="103">
        <f t="shared" si="0"/>
        <v>13</v>
      </c>
    </row>
    <row r="7" spans="1:17" ht="12" customHeight="1">
      <c r="A7" s="16">
        <v>1</v>
      </c>
      <c r="B7" s="21"/>
      <c r="C7" s="14" t="s">
        <v>6</v>
      </c>
      <c r="D7" s="28">
        <v>400</v>
      </c>
      <c r="E7" s="28">
        <v>430</v>
      </c>
      <c r="F7" s="28">
        <v>515</v>
      </c>
      <c r="G7" s="130">
        <v>550</v>
      </c>
      <c r="H7" s="3">
        <f aca="true" t="shared" si="1" ref="H7:M7">G7*(1+$O$5)</f>
        <v>561</v>
      </c>
      <c r="I7" s="3">
        <f t="shared" si="1"/>
        <v>572.22</v>
      </c>
      <c r="J7" s="3">
        <f t="shared" si="1"/>
        <v>583.6644</v>
      </c>
      <c r="K7" s="3">
        <f t="shared" si="1"/>
        <v>595.337688</v>
      </c>
      <c r="L7" s="3">
        <f t="shared" si="1"/>
        <v>607.24444176</v>
      </c>
      <c r="M7" s="3">
        <f t="shared" si="1"/>
        <v>619.3893305952</v>
      </c>
      <c r="N7" s="3">
        <f>M7*(1+$O$5)</f>
        <v>631.7771172071041</v>
      </c>
      <c r="O7" s="3">
        <f>N7*(1+$O$5)</f>
        <v>644.4126595512462</v>
      </c>
      <c r="P7" s="3">
        <f>O7*(1+$O$5)</f>
        <v>657.3009127422711</v>
      </c>
      <c r="Q7" s="3">
        <f>P7*(1+$O$5)</f>
        <v>670.4469309971165</v>
      </c>
    </row>
    <row r="8" spans="1:17" ht="12" customHeight="1">
      <c r="A8" s="16">
        <v>5</v>
      </c>
      <c r="B8" s="21"/>
      <c r="C8" s="14" t="s">
        <v>7</v>
      </c>
      <c r="D8" s="28">
        <v>1600</v>
      </c>
      <c r="E8" s="5">
        <v>1800</v>
      </c>
      <c r="F8" s="5">
        <v>2300</v>
      </c>
      <c r="G8" s="93">
        <v>2600</v>
      </c>
      <c r="H8" s="3">
        <f aca="true" t="shared" si="2" ref="H8:M8">H10+H9</f>
        <v>2913</v>
      </c>
      <c r="I8" s="3">
        <f t="shared" si="2"/>
        <v>3232.26</v>
      </c>
      <c r="J8" s="3">
        <f t="shared" si="2"/>
        <v>3557.9052</v>
      </c>
      <c r="K8" s="3">
        <f t="shared" si="2"/>
        <v>3890.0633040000002</v>
      </c>
      <c r="L8" s="3">
        <f t="shared" si="2"/>
        <v>4228.864570080001</v>
      </c>
      <c r="M8" s="3">
        <f t="shared" si="2"/>
        <v>4574.4418614816</v>
      </c>
      <c r="N8" s="3">
        <f>N10+N9</f>
        <v>4926.930698711232</v>
      </c>
      <c r="O8" s="3">
        <f>O10+O9</f>
        <v>5286.469312685456</v>
      </c>
      <c r="P8" s="3">
        <f>P10+P9</f>
        <v>5653.198698939166</v>
      </c>
      <c r="Q8" s="3">
        <f>Q10+Q9</f>
        <v>6027.26267291795</v>
      </c>
    </row>
    <row r="9" spans="1:17" ht="12" customHeight="1">
      <c r="A9" s="16">
        <v>6</v>
      </c>
      <c r="B9" s="21"/>
      <c r="C9" s="14" t="s">
        <v>8</v>
      </c>
      <c r="D9" s="28"/>
      <c r="E9" s="5">
        <f aca="true" t="shared" si="3" ref="E9:Q9">D9+E23</f>
        <v>200</v>
      </c>
      <c r="F9" s="5">
        <f t="shared" si="3"/>
        <v>450</v>
      </c>
      <c r="G9" s="93">
        <f t="shared" si="3"/>
        <v>720</v>
      </c>
      <c r="H9" s="3">
        <f t="shared" si="3"/>
        <v>995.4</v>
      </c>
      <c r="I9" s="3">
        <f t="shared" si="3"/>
        <v>1276.308</v>
      </c>
      <c r="J9" s="3">
        <f t="shared" si="3"/>
        <v>1562.8341599999999</v>
      </c>
      <c r="K9" s="3">
        <f t="shared" si="3"/>
        <v>1855.0908431999999</v>
      </c>
      <c r="L9" s="3">
        <f t="shared" si="3"/>
        <v>2153.192660064</v>
      </c>
      <c r="M9" s="3">
        <f t="shared" si="3"/>
        <v>2457.25651326528</v>
      </c>
      <c r="N9" s="3">
        <f t="shared" si="3"/>
        <v>2767.4016435305853</v>
      </c>
      <c r="O9" s="3">
        <f t="shared" si="3"/>
        <v>3083.7496764011967</v>
      </c>
      <c r="P9" s="3">
        <f t="shared" si="3"/>
        <v>3406.4246699292207</v>
      </c>
      <c r="Q9" s="3">
        <f t="shared" si="3"/>
        <v>3735.553163327805</v>
      </c>
    </row>
    <row r="10" spans="1:17" ht="12" customHeight="1">
      <c r="A10" s="16">
        <v>7</v>
      </c>
      <c r="B10" s="21"/>
      <c r="C10" s="14" t="s">
        <v>9</v>
      </c>
      <c r="D10" s="28">
        <f>D8-D9</f>
        <v>1600</v>
      </c>
      <c r="E10" s="28">
        <f>E8-E9</f>
        <v>1600</v>
      </c>
      <c r="F10" s="28">
        <f>F8-F9</f>
        <v>1850</v>
      </c>
      <c r="G10" s="130">
        <f>G8-G9</f>
        <v>1880</v>
      </c>
      <c r="H10" s="37">
        <f aca="true" t="shared" si="4" ref="H10:Q10">G10*(1+$O3)</f>
        <v>1917.6000000000001</v>
      </c>
      <c r="I10" s="37">
        <f t="shared" si="4"/>
        <v>1955.9520000000002</v>
      </c>
      <c r="J10" s="37">
        <f t="shared" si="4"/>
        <v>1995.0710400000003</v>
      </c>
      <c r="K10" s="37">
        <f t="shared" si="4"/>
        <v>2034.9724608000004</v>
      </c>
      <c r="L10" s="37">
        <f t="shared" si="4"/>
        <v>2075.6719100160003</v>
      </c>
      <c r="M10" s="37">
        <f t="shared" si="4"/>
        <v>2117.1853482163206</v>
      </c>
      <c r="N10" s="37">
        <f t="shared" si="4"/>
        <v>2159.529055180647</v>
      </c>
      <c r="O10" s="37">
        <f t="shared" si="4"/>
        <v>2202.71963628426</v>
      </c>
      <c r="P10" s="37">
        <f t="shared" si="4"/>
        <v>2246.7740290099455</v>
      </c>
      <c r="Q10" s="37">
        <f t="shared" si="4"/>
        <v>2291.7095095901445</v>
      </c>
    </row>
    <row r="11" spans="1:41" s="42" customFormat="1" ht="12" customHeight="1">
      <c r="A11" s="45">
        <v>9</v>
      </c>
      <c r="B11" s="47"/>
      <c r="C11" s="114" t="s">
        <v>10</v>
      </c>
      <c r="D11" s="115">
        <f aca="true" t="shared" si="5" ref="D11:Q11">D7+D10</f>
        <v>2000</v>
      </c>
      <c r="E11" s="115">
        <f t="shared" si="5"/>
        <v>2030</v>
      </c>
      <c r="F11" s="115">
        <f t="shared" si="5"/>
        <v>2365</v>
      </c>
      <c r="G11" s="115">
        <f t="shared" si="5"/>
        <v>2430</v>
      </c>
      <c r="H11" s="154">
        <f t="shared" si="5"/>
        <v>2478.6000000000004</v>
      </c>
      <c r="I11" s="115">
        <f t="shared" si="5"/>
        <v>2528.1720000000005</v>
      </c>
      <c r="J11" s="115">
        <f t="shared" si="5"/>
        <v>2578.7354400000004</v>
      </c>
      <c r="K11" s="115">
        <f t="shared" si="5"/>
        <v>2630.3101488</v>
      </c>
      <c r="L11" s="115">
        <f t="shared" si="5"/>
        <v>2682.9163517760003</v>
      </c>
      <c r="M11" s="115">
        <f t="shared" si="5"/>
        <v>2736.5746788115207</v>
      </c>
      <c r="N11" s="115">
        <f t="shared" si="5"/>
        <v>2791.306172387751</v>
      </c>
      <c r="O11" s="115">
        <f t="shared" si="5"/>
        <v>2847.1322958355063</v>
      </c>
      <c r="P11" s="115">
        <f t="shared" si="5"/>
        <v>2904.0749417522165</v>
      </c>
      <c r="Q11" s="115">
        <f t="shared" si="5"/>
        <v>2962.156440587261</v>
      </c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</row>
    <row r="12" spans="1:17" ht="12" customHeight="1">
      <c r="A12" s="16"/>
      <c r="B12" s="22"/>
      <c r="C12" s="13"/>
      <c r="D12" s="53"/>
      <c r="E12" s="53"/>
      <c r="F12" s="53"/>
      <c r="G12" s="142"/>
      <c r="H12" s="19"/>
      <c r="I12" s="53"/>
      <c r="J12" s="53"/>
      <c r="K12" s="53"/>
      <c r="L12" s="19"/>
      <c r="M12" s="34"/>
      <c r="N12" s="19"/>
      <c r="O12" s="19"/>
      <c r="P12" s="19"/>
      <c r="Q12" s="19"/>
    </row>
    <row r="13" spans="1:17" ht="12" customHeight="1">
      <c r="A13" s="16">
        <v>12</v>
      </c>
      <c r="B13" s="21"/>
      <c r="C13" s="152" t="s">
        <v>83</v>
      </c>
      <c r="D13" s="147">
        <v>1500</v>
      </c>
      <c r="E13" s="5">
        <f>D13</f>
        <v>1500</v>
      </c>
      <c r="F13" s="5">
        <f>E13</f>
        <v>1500</v>
      </c>
      <c r="G13" s="93">
        <f>F13</f>
        <v>1500</v>
      </c>
      <c r="H13" s="3">
        <f aca="true" t="shared" si="6" ref="H13:M13">G13*(1+$O$5)</f>
        <v>1530</v>
      </c>
      <c r="I13" s="3">
        <f t="shared" si="6"/>
        <v>1560.6000000000001</v>
      </c>
      <c r="J13" s="3">
        <f t="shared" si="6"/>
        <v>1591.8120000000001</v>
      </c>
      <c r="K13" s="3">
        <f t="shared" si="6"/>
        <v>1623.6482400000002</v>
      </c>
      <c r="L13" s="3">
        <f t="shared" si="6"/>
        <v>1656.1212048000002</v>
      </c>
      <c r="M13" s="3">
        <f t="shared" si="6"/>
        <v>1689.2436288960002</v>
      </c>
      <c r="N13" s="3">
        <f>M13*(1+$O$5)</f>
        <v>1723.0285014739202</v>
      </c>
      <c r="O13" s="3">
        <f>N13*(1+$O$5)</f>
        <v>1757.4890715033987</v>
      </c>
      <c r="P13" s="3">
        <f>O13*(1+$O$5)</f>
        <v>1792.6388529334668</v>
      </c>
      <c r="Q13" s="3">
        <f>P13*(1+$O$5)</f>
        <v>1828.491629992136</v>
      </c>
    </row>
    <row r="14" spans="1:17" ht="12" customHeight="1">
      <c r="A14" s="16">
        <v>13</v>
      </c>
      <c r="B14" s="21"/>
      <c r="C14" s="152" t="s">
        <v>84</v>
      </c>
      <c r="D14" s="147">
        <v>500</v>
      </c>
      <c r="E14" s="28">
        <f aca="true" t="shared" si="7" ref="E14:Q14">D14+E29-E40</f>
        <v>530</v>
      </c>
      <c r="F14" s="28">
        <f t="shared" si="7"/>
        <v>865</v>
      </c>
      <c r="G14" s="130">
        <f t="shared" si="7"/>
        <v>930</v>
      </c>
      <c r="H14" s="37">
        <f t="shared" si="7"/>
        <v>948.5999999999999</v>
      </c>
      <c r="I14" s="37">
        <f t="shared" si="7"/>
        <v>967.5720000000001</v>
      </c>
      <c r="J14" s="37">
        <f t="shared" si="7"/>
        <v>986.9234400000001</v>
      </c>
      <c r="K14" s="37">
        <f t="shared" si="7"/>
        <v>1006.6619088000001</v>
      </c>
      <c r="L14" s="37">
        <f t="shared" si="7"/>
        <v>1026.7951469760005</v>
      </c>
      <c r="M14" s="37">
        <f t="shared" si="7"/>
        <v>1047.3310499155202</v>
      </c>
      <c r="N14" s="37">
        <f t="shared" si="7"/>
        <v>1068.2776709138307</v>
      </c>
      <c r="O14" s="37">
        <f t="shared" si="7"/>
        <v>1089.6432243321067</v>
      </c>
      <c r="P14" s="37">
        <f t="shared" si="7"/>
        <v>1111.4360888187496</v>
      </c>
      <c r="Q14" s="37">
        <f t="shared" si="7"/>
        <v>1133.6648105951253</v>
      </c>
    </row>
    <row r="15" spans="1:41" s="42" customFormat="1" ht="12" customHeight="1">
      <c r="A15" s="45">
        <v>14</v>
      </c>
      <c r="B15" s="47"/>
      <c r="C15" s="114" t="s">
        <v>140</v>
      </c>
      <c r="D15" s="115">
        <f aca="true" t="shared" si="8" ref="D15:Q15">+D13+D14</f>
        <v>2000</v>
      </c>
      <c r="E15" s="115">
        <f t="shared" si="8"/>
        <v>2030</v>
      </c>
      <c r="F15" s="115">
        <f t="shared" si="8"/>
        <v>2365</v>
      </c>
      <c r="G15" s="115">
        <f t="shared" si="8"/>
        <v>2430</v>
      </c>
      <c r="H15" s="154">
        <f t="shared" si="8"/>
        <v>2478.6</v>
      </c>
      <c r="I15" s="115">
        <f t="shared" si="8"/>
        <v>2528.1720000000005</v>
      </c>
      <c r="J15" s="115">
        <f t="shared" si="8"/>
        <v>2578.7354400000004</v>
      </c>
      <c r="K15" s="115">
        <f t="shared" si="8"/>
        <v>2630.3101488</v>
      </c>
      <c r="L15" s="115">
        <f t="shared" si="8"/>
        <v>2682.9163517760007</v>
      </c>
      <c r="M15" s="115">
        <f t="shared" si="8"/>
        <v>2736.5746788115202</v>
      </c>
      <c r="N15" s="115">
        <f t="shared" si="8"/>
        <v>2791.306172387751</v>
      </c>
      <c r="O15" s="115">
        <f t="shared" si="8"/>
        <v>2847.1322958355054</v>
      </c>
      <c r="P15" s="115">
        <f t="shared" si="8"/>
        <v>2904.0749417522165</v>
      </c>
      <c r="Q15" s="115">
        <f t="shared" si="8"/>
        <v>2962.1564405872614</v>
      </c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</row>
    <row r="16" spans="1:17" ht="12" customHeight="1">
      <c r="A16" s="16"/>
      <c r="B16" s="22"/>
      <c r="C16" s="13"/>
      <c r="D16" s="53"/>
      <c r="E16" s="53"/>
      <c r="F16" s="53"/>
      <c r="G16" s="142"/>
      <c r="H16" s="19"/>
      <c r="I16" s="53"/>
      <c r="J16" s="53"/>
      <c r="K16" s="53"/>
      <c r="L16" s="19"/>
      <c r="M16" s="34"/>
      <c r="N16" s="19"/>
      <c r="O16" s="19"/>
      <c r="P16" s="76"/>
      <c r="Q16" s="19"/>
    </row>
    <row r="17" spans="1:17" ht="12" customHeight="1">
      <c r="A17" s="16">
        <v>15</v>
      </c>
      <c r="B17" s="24"/>
      <c r="C17" s="10" t="s">
        <v>11</v>
      </c>
      <c r="D17" s="25">
        <f aca="true" t="shared" si="9" ref="D17:Q17">D7</f>
        <v>400</v>
      </c>
      <c r="E17" s="25">
        <f t="shared" si="9"/>
        <v>430</v>
      </c>
      <c r="F17" s="25">
        <f t="shared" si="9"/>
        <v>515</v>
      </c>
      <c r="G17" s="25">
        <f t="shared" si="9"/>
        <v>550</v>
      </c>
      <c r="H17" s="25">
        <f t="shared" si="9"/>
        <v>561</v>
      </c>
      <c r="I17" s="25">
        <f t="shared" si="9"/>
        <v>572.22</v>
      </c>
      <c r="J17" s="25">
        <f t="shared" si="9"/>
        <v>583.6644</v>
      </c>
      <c r="K17" s="25">
        <f t="shared" si="9"/>
        <v>595.337688</v>
      </c>
      <c r="L17" s="25">
        <f t="shared" si="9"/>
        <v>607.24444176</v>
      </c>
      <c r="M17" s="25">
        <f t="shared" si="9"/>
        <v>619.3893305952</v>
      </c>
      <c r="N17" s="25">
        <f t="shared" si="9"/>
        <v>631.7771172071041</v>
      </c>
      <c r="O17" s="25">
        <f t="shared" si="9"/>
        <v>644.4126595512462</v>
      </c>
      <c r="P17" s="25">
        <f t="shared" si="9"/>
        <v>657.3009127422711</v>
      </c>
      <c r="Q17" s="25">
        <f t="shared" si="9"/>
        <v>670.4469309971165</v>
      </c>
    </row>
    <row r="18" spans="1:17" ht="12" customHeight="1">
      <c r="A18" s="16"/>
      <c r="B18" s="22"/>
      <c r="C18" s="13"/>
      <c r="D18" s="53"/>
      <c r="E18" s="53"/>
      <c r="F18" s="53"/>
      <c r="G18" s="142"/>
      <c r="H18" s="19"/>
      <c r="I18" s="40"/>
      <c r="J18" s="40"/>
      <c r="K18" s="40"/>
      <c r="L18" s="40"/>
      <c r="M18" s="33"/>
      <c r="N18" s="40"/>
      <c r="O18" s="40"/>
      <c r="P18" s="40"/>
      <c r="Q18" s="40"/>
    </row>
    <row r="19" spans="1:17" ht="12" customHeight="1">
      <c r="A19" s="16"/>
      <c r="B19"/>
      <c r="C19" s="9" t="s">
        <v>12</v>
      </c>
      <c r="D19" s="53"/>
      <c r="E19" s="53"/>
      <c r="F19" s="53"/>
      <c r="G19" s="142"/>
      <c r="H19" s="19"/>
      <c r="I19" s="22"/>
      <c r="J19" s="22"/>
      <c r="K19" s="22"/>
      <c r="L19" s="22"/>
      <c r="M19" s="26"/>
      <c r="N19" s="22"/>
      <c r="O19" s="22"/>
      <c r="P19" s="22"/>
      <c r="Q19" s="22"/>
    </row>
    <row r="20" spans="1:17" ht="12" customHeight="1">
      <c r="A20" s="16">
        <v>16</v>
      </c>
      <c r="B20" s="22"/>
      <c r="C20" s="14" t="s">
        <v>13</v>
      </c>
      <c r="D20" s="28"/>
      <c r="E20" s="5">
        <v>2400</v>
      </c>
      <c r="F20" s="5">
        <v>3000</v>
      </c>
      <c r="G20" s="93">
        <v>3400</v>
      </c>
      <c r="H20" s="3">
        <f aca="true" t="shared" si="10" ref="H20:M20">G20*(1+$O$5)</f>
        <v>3468</v>
      </c>
      <c r="I20" s="3">
        <f t="shared" si="10"/>
        <v>3537.36</v>
      </c>
      <c r="J20" s="3">
        <f t="shared" si="10"/>
        <v>3608.1072000000004</v>
      </c>
      <c r="K20" s="3">
        <f t="shared" si="10"/>
        <v>3680.2693440000003</v>
      </c>
      <c r="L20" s="3">
        <f t="shared" si="10"/>
        <v>3753.8747308800002</v>
      </c>
      <c r="M20" s="3">
        <f t="shared" si="10"/>
        <v>3828.9522254976005</v>
      </c>
      <c r="N20" s="3">
        <f>M20*(1+$O$5)</f>
        <v>3905.5312700075524</v>
      </c>
      <c r="O20" s="3">
        <f>N20*(1+$O$5)</f>
        <v>3983.6418954077035</v>
      </c>
      <c r="P20" s="3">
        <f>O20*(1+$O$5)</f>
        <v>4063.3147333158577</v>
      </c>
      <c r="Q20" s="3">
        <f>P20*(1+$O$5)</f>
        <v>4144.581027982175</v>
      </c>
    </row>
    <row r="21" spans="1:17" ht="12" customHeight="1">
      <c r="A21" s="16">
        <v>17</v>
      </c>
      <c r="B21" s="22"/>
      <c r="C21" s="14" t="s">
        <v>14</v>
      </c>
      <c r="D21" s="28"/>
      <c r="E21" s="28">
        <f>E20*0.5</f>
        <v>1200</v>
      </c>
      <c r="F21" s="28">
        <f aca="true" t="shared" si="11" ref="F21:Q21">F20*0.5</f>
        <v>1500</v>
      </c>
      <c r="G21" s="28">
        <f t="shared" si="11"/>
        <v>1700</v>
      </c>
      <c r="H21" s="28">
        <f t="shared" si="11"/>
        <v>1734</v>
      </c>
      <c r="I21" s="28">
        <f t="shared" si="11"/>
        <v>1768.68</v>
      </c>
      <c r="J21" s="28">
        <f t="shared" si="11"/>
        <v>1804.0536000000002</v>
      </c>
      <c r="K21" s="28">
        <f t="shared" si="11"/>
        <v>1840.1346720000001</v>
      </c>
      <c r="L21" s="28">
        <f t="shared" si="11"/>
        <v>1876.9373654400001</v>
      </c>
      <c r="M21" s="28">
        <f t="shared" si="11"/>
        <v>1914.4761127488002</v>
      </c>
      <c r="N21" s="28">
        <f t="shared" si="11"/>
        <v>1952.7656350037762</v>
      </c>
      <c r="O21" s="28">
        <f t="shared" si="11"/>
        <v>1991.8209477038517</v>
      </c>
      <c r="P21" s="28">
        <f t="shared" si="11"/>
        <v>2031.6573666579288</v>
      </c>
      <c r="Q21" s="28">
        <f t="shared" si="11"/>
        <v>2072.2905139910877</v>
      </c>
    </row>
    <row r="22" spans="1:17" ht="12" customHeight="1">
      <c r="A22" s="16">
        <v>19</v>
      </c>
      <c r="B22" s="22"/>
      <c r="C22" s="14" t="s">
        <v>15</v>
      </c>
      <c r="D22" s="28"/>
      <c r="E22" s="28">
        <v>580</v>
      </c>
      <c r="F22" s="28">
        <v>570</v>
      </c>
      <c r="G22" s="130">
        <v>690</v>
      </c>
      <c r="H22" s="48">
        <v>693.6</v>
      </c>
      <c r="I22" s="48">
        <f aca="true" t="shared" si="12" ref="I22:Q22">H22/H20*I20</f>
        <v>707.4720000000001</v>
      </c>
      <c r="J22" s="48">
        <f t="shared" si="12"/>
        <v>721.6214400000001</v>
      </c>
      <c r="K22" s="48">
        <f t="shared" si="12"/>
        <v>736.0538688000001</v>
      </c>
      <c r="L22" s="48">
        <f t="shared" si="12"/>
        <v>750.7749461760001</v>
      </c>
      <c r="M22" s="48">
        <f t="shared" si="12"/>
        <v>765.7904450995202</v>
      </c>
      <c r="N22" s="48">
        <f t="shared" si="12"/>
        <v>781.1062540015105</v>
      </c>
      <c r="O22" s="48">
        <f t="shared" si="12"/>
        <v>796.7283790815408</v>
      </c>
      <c r="P22" s="48">
        <f t="shared" si="12"/>
        <v>812.6629466631716</v>
      </c>
      <c r="Q22" s="48">
        <f t="shared" si="12"/>
        <v>828.9162055964351</v>
      </c>
    </row>
    <row r="23" spans="1:17" ht="12" customHeight="1">
      <c r="A23" s="16">
        <v>20</v>
      </c>
      <c r="B23" s="22"/>
      <c r="C23" s="14" t="s">
        <v>16</v>
      </c>
      <c r="D23" s="28"/>
      <c r="E23" s="5">
        <v>200</v>
      </c>
      <c r="F23" s="5">
        <v>250</v>
      </c>
      <c r="G23" s="93">
        <v>270</v>
      </c>
      <c r="H23" s="3">
        <f aca="true" t="shared" si="13" ref="H23:M23">G23*(1+$O$5)</f>
        <v>275.4</v>
      </c>
      <c r="I23" s="2">
        <f t="shared" si="13"/>
        <v>280.90799999999996</v>
      </c>
      <c r="J23" s="2">
        <f t="shared" si="13"/>
        <v>286.52615999999995</v>
      </c>
      <c r="K23" s="2">
        <f t="shared" si="13"/>
        <v>292.25668319999994</v>
      </c>
      <c r="L23" s="2">
        <f t="shared" si="13"/>
        <v>298.10181686399994</v>
      </c>
      <c r="M23" s="2">
        <f t="shared" si="13"/>
        <v>304.0638532012799</v>
      </c>
      <c r="N23" s="2">
        <f>M23*(1+$O$5)</f>
        <v>310.1451302653055</v>
      </c>
      <c r="O23" s="2">
        <f>N23*(1+$O$5)</f>
        <v>316.34803287061163</v>
      </c>
      <c r="P23" s="2">
        <f>O23*(1+$O$5)</f>
        <v>322.6749935280239</v>
      </c>
      <c r="Q23" s="2">
        <f>P23*(1+$O$5)</f>
        <v>329.1284933985844</v>
      </c>
    </row>
    <row r="24" spans="1:17" ht="12" customHeight="1">
      <c r="A24" s="16">
        <v>21</v>
      </c>
      <c r="C24" s="4" t="s">
        <v>17</v>
      </c>
      <c r="D24" s="5"/>
      <c r="E24" s="5">
        <f>E20-E21-E22-E23</f>
        <v>420</v>
      </c>
      <c r="F24" s="5">
        <f aca="true" t="shared" si="14" ref="F24:Q24">F20-F21-F22-F23</f>
        <v>680</v>
      </c>
      <c r="G24" s="5">
        <f t="shared" si="14"/>
        <v>740</v>
      </c>
      <c r="H24" s="5">
        <f t="shared" si="14"/>
        <v>765.0000000000001</v>
      </c>
      <c r="I24" s="5">
        <f t="shared" si="14"/>
        <v>780.3000000000002</v>
      </c>
      <c r="J24" s="5">
        <f t="shared" si="14"/>
        <v>795.9060000000002</v>
      </c>
      <c r="K24" s="5">
        <f t="shared" si="14"/>
        <v>811.82412</v>
      </c>
      <c r="L24" s="5">
        <f t="shared" si="14"/>
        <v>828.0606024000002</v>
      </c>
      <c r="M24" s="5">
        <f t="shared" si="14"/>
        <v>844.6218144480001</v>
      </c>
      <c r="N24" s="5">
        <f t="shared" si="14"/>
        <v>861.5142507369602</v>
      </c>
      <c r="O24" s="5">
        <f t="shared" si="14"/>
        <v>878.7445357516992</v>
      </c>
      <c r="P24" s="5">
        <f t="shared" si="14"/>
        <v>896.3194264667334</v>
      </c>
      <c r="Q24" s="5">
        <f t="shared" si="14"/>
        <v>914.245814996068</v>
      </c>
    </row>
    <row r="25" spans="1:17" ht="12" customHeight="1">
      <c r="A25" s="16">
        <v>22</v>
      </c>
      <c r="C25" s="4" t="s">
        <v>18</v>
      </c>
      <c r="D25" s="5"/>
      <c r="E25" s="5">
        <f>D58*D63</f>
        <v>120</v>
      </c>
      <c r="F25" s="5">
        <f>E58*E63</f>
        <v>120</v>
      </c>
      <c r="G25" s="93">
        <f aca="true" t="shared" si="15" ref="G25:M25">F58*F63</f>
        <v>120</v>
      </c>
      <c r="H25" s="1">
        <f t="shared" si="15"/>
        <v>120</v>
      </c>
      <c r="I25" s="5">
        <f t="shared" si="15"/>
        <v>122.4</v>
      </c>
      <c r="J25" s="5">
        <f t="shared" si="15"/>
        <v>124.84800000000001</v>
      </c>
      <c r="K25" s="5">
        <f t="shared" si="15"/>
        <v>127.34496000000001</v>
      </c>
      <c r="L25" s="5">
        <f t="shared" si="15"/>
        <v>129.89185920000003</v>
      </c>
      <c r="M25" s="5">
        <f t="shared" si="15"/>
        <v>132.489696384</v>
      </c>
      <c r="N25" s="5">
        <f>M58*M63</f>
        <v>135.13949031168002</v>
      </c>
      <c r="O25" s="5">
        <f>N58*N63</f>
        <v>137.84228011791362</v>
      </c>
      <c r="P25" s="5">
        <f>O58*O63</f>
        <v>140.5991257202719</v>
      </c>
      <c r="Q25" s="5">
        <f>P58*P63</f>
        <v>143.41110823467736</v>
      </c>
    </row>
    <row r="26" spans="1:17" ht="12" customHeight="1">
      <c r="A26" s="16">
        <v>23</v>
      </c>
      <c r="C26" s="4" t="s">
        <v>19</v>
      </c>
      <c r="D26" s="5"/>
      <c r="E26" s="5"/>
      <c r="F26" s="5"/>
      <c r="G26" s="93"/>
      <c r="H26" s="1"/>
      <c r="I26" s="5"/>
      <c r="J26" s="5"/>
      <c r="K26" s="5"/>
      <c r="L26" s="5"/>
      <c r="M26" s="5"/>
      <c r="N26" s="5"/>
      <c r="O26" s="5"/>
      <c r="P26" s="5"/>
      <c r="Q26" s="5"/>
    </row>
    <row r="27" spans="1:17" ht="12" customHeight="1">
      <c r="A27" s="16">
        <v>24</v>
      </c>
      <c r="C27" s="4" t="s">
        <v>20</v>
      </c>
      <c r="D27" s="5"/>
      <c r="E27" s="5">
        <f>E24-E25+E26</f>
        <v>300</v>
      </c>
      <c r="F27" s="5">
        <f aca="true" t="shared" si="16" ref="F27:Q27">F24-F25+F26</f>
        <v>560</v>
      </c>
      <c r="G27" s="93">
        <f t="shared" si="16"/>
        <v>620</v>
      </c>
      <c r="H27" s="1">
        <f t="shared" si="16"/>
        <v>645.0000000000001</v>
      </c>
      <c r="I27" s="5">
        <f t="shared" si="16"/>
        <v>657.9000000000002</v>
      </c>
      <c r="J27" s="5">
        <f t="shared" si="16"/>
        <v>671.0580000000002</v>
      </c>
      <c r="K27" s="5">
        <f t="shared" si="16"/>
        <v>684.47916</v>
      </c>
      <c r="L27" s="5">
        <f t="shared" si="16"/>
        <v>698.1687432000002</v>
      </c>
      <c r="M27" s="5">
        <f t="shared" si="16"/>
        <v>712.1321180640001</v>
      </c>
      <c r="N27" s="5">
        <f t="shared" si="16"/>
        <v>726.3747604252802</v>
      </c>
      <c r="O27" s="5">
        <f t="shared" si="16"/>
        <v>740.9022556337857</v>
      </c>
      <c r="P27" s="5">
        <f t="shared" si="16"/>
        <v>755.7203007464615</v>
      </c>
      <c r="Q27" s="5">
        <f t="shared" si="16"/>
        <v>770.8347067613906</v>
      </c>
    </row>
    <row r="28" spans="1:17" ht="12" customHeight="1">
      <c r="A28" s="16">
        <v>25</v>
      </c>
      <c r="B28"/>
      <c r="C28" s="4" t="s">
        <v>21</v>
      </c>
      <c r="D28" s="5"/>
      <c r="E28" s="5">
        <f aca="true" t="shared" si="17" ref="E28:Q28">$F1*E27</f>
        <v>105</v>
      </c>
      <c r="F28" s="5">
        <f t="shared" si="17"/>
        <v>196</v>
      </c>
      <c r="G28" s="93">
        <f t="shared" si="17"/>
        <v>217</v>
      </c>
      <c r="H28" s="3">
        <f t="shared" si="17"/>
        <v>225.75000000000003</v>
      </c>
      <c r="I28" s="3">
        <f t="shared" si="17"/>
        <v>230.26500000000004</v>
      </c>
      <c r="J28" s="3">
        <f t="shared" si="17"/>
        <v>234.87030000000007</v>
      </c>
      <c r="K28" s="3">
        <f t="shared" si="17"/>
        <v>239.567706</v>
      </c>
      <c r="L28" s="3">
        <f t="shared" si="17"/>
        <v>244.35906012000007</v>
      </c>
      <c r="M28" s="3">
        <f t="shared" si="17"/>
        <v>249.2462413224</v>
      </c>
      <c r="N28" s="3">
        <f t="shared" si="17"/>
        <v>254.23116614884805</v>
      </c>
      <c r="O28" s="3">
        <f t="shared" si="17"/>
        <v>259.315789471825</v>
      </c>
      <c r="P28" s="3">
        <f t="shared" si="17"/>
        <v>264.5021052612615</v>
      </c>
      <c r="Q28" s="3">
        <f t="shared" si="17"/>
        <v>269.7921473664867</v>
      </c>
    </row>
    <row r="29" spans="1:41" s="77" customFormat="1" ht="12" customHeight="1" thickBot="1">
      <c r="A29" s="64">
        <v>26</v>
      </c>
      <c r="C29" s="77" t="s">
        <v>22</v>
      </c>
      <c r="D29" s="79"/>
      <c r="E29" s="79">
        <f aca="true" t="shared" si="18" ref="E29:Q29">E27-E28</f>
        <v>195</v>
      </c>
      <c r="F29" s="79">
        <f t="shared" si="18"/>
        <v>364</v>
      </c>
      <c r="G29" s="95">
        <f t="shared" si="18"/>
        <v>403</v>
      </c>
      <c r="H29" s="112">
        <f t="shared" si="18"/>
        <v>419.2500000000001</v>
      </c>
      <c r="I29" s="112">
        <f t="shared" si="18"/>
        <v>427.63500000000016</v>
      </c>
      <c r="J29" s="112">
        <f t="shared" si="18"/>
        <v>436.1877000000002</v>
      </c>
      <c r="K29" s="112">
        <f t="shared" si="18"/>
        <v>444.911454</v>
      </c>
      <c r="L29" s="112">
        <f t="shared" si="18"/>
        <v>453.8096830800001</v>
      </c>
      <c r="M29" s="113">
        <f t="shared" si="18"/>
        <v>462.8858767416001</v>
      </c>
      <c r="N29" s="112">
        <f t="shared" si="18"/>
        <v>472.14359427643217</v>
      </c>
      <c r="O29" s="112">
        <f t="shared" si="18"/>
        <v>481.5864661619607</v>
      </c>
      <c r="P29" s="112">
        <f t="shared" si="18"/>
        <v>491.2181954852</v>
      </c>
      <c r="Q29" s="112">
        <f t="shared" si="18"/>
        <v>501.04255939490395</v>
      </c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</row>
    <row r="30" spans="1:17" s="56" customFormat="1" ht="12" customHeight="1">
      <c r="A30" s="55"/>
      <c r="C30" s="56" t="s">
        <v>94</v>
      </c>
      <c r="E30" s="163">
        <f>E28/E27</f>
        <v>0.35</v>
      </c>
      <c r="F30" s="163">
        <f aca="true" t="shared" si="19" ref="F30:Q30">F28/F27</f>
        <v>0.35</v>
      </c>
      <c r="G30" s="163">
        <f t="shared" si="19"/>
        <v>0.35</v>
      </c>
      <c r="H30" s="163">
        <f t="shared" si="19"/>
        <v>0.35</v>
      </c>
      <c r="I30" s="163">
        <f t="shared" si="19"/>
        <v>0.35</v>
      </c>
      <c r="J30" s="163">
        <f t="shared" si="19"/>
        <v>0.35</v>
      </c>
      <c r="K30" s="163">
        <f t="shared" si="19"/>
        <v>0.35</v>
      </c>
      <c r="L30" s="163">
        <f t="shared" si="19"/>
        <v>0.35</v>
      </c>
      <c r="M30" s="163">
        <f t="shared" si="19"/>
        <v>0.35</v>
      </c>
      <c r="N30" s="163">
        <f t="shared" si="19"/>
        <v>0.35</v>
      </c>
      <c r="O30" s="163">
        <f t="shared" si="19"/>
        <v>0.35</v>
      </c>
      <c r="P30" s="163">
        <f t="shared" si="19"/>
        <v>0.3499999999999999</v>
      </c>
      <c r="Q30" s="163">
        <f t="shared" si="19"/>
        <v>0.35</v>
      </c>
    </row>
    <row r="31" spans="1:17" s="56" customFormat="1" ht="12.75" customHeight="1">
      <c r="A31" s="55"/>
      <c r="F31" s="116"/>
      <c r="G31" s="117"/>
      <c r="H31" s="116"/>
      <c r="I31" s="116"/>
      <c r="J31" s="116"/>
      <c r="K31" s="116"/>
      <c r="L31" s="116"/>
      <c r="M31" s="117"/>
      <c r="N31" s="116"/>
      <c r="O31" s="116"/>
      <c r="P31" s="116"/>
      <c r="Q31" s="116"/>
    </row>
    <row r="32" spans="1:17" ht="12" customHeight="1" thickBot="1">
      <c r="A32" s="16"/>
      <c r="B32"/>
      <c r="C32"/>
      <c r="D32" s="66">
        <v>0</v>
      </c>
      <c r="E32" s="66">
        <v>1</v>
      </c>
      <c r="F32" s="66">
        <f aca="true" t="shared" si="20" ref="F32:Q32">E32+1</f>
        <v>2</v>
      </c>
      <c r="G32" s="150">
        <f t="shared" si="20"/>
        <v>3</v>
      </c>
      <c r="H32" s="66">
        <f t="shared" si="20"/>
        <v>4</v>
      </c>
      <c r="I32" s="66">
        <f t="shared" si="20"/>
        <v>5</v>
      </c>
      <c r="J32" s="103">
        <f t="shared" si="20"/>
        <v>6</v>
      </c>
      <c r="K32" s="103">
        <f t="shared" si="20"/>
        <v>7</v>
      </c>
      <c r="L32" s="103">
        <f t="shared" si="20"/>
        <v>8</v>
      </c>
      <c r="M32" s="111">
        <f t="shared" si="20"/>
        <v>9</v>
      </c>
      <c r="N32" s="103">
        <f t="shared" si="20"/>
        <v>10</v>
      </c>
      <c r="O32" s="103">
        <f t="shared" si="20"/>
        <v>11</v>
      </c>
      <c r="P32" s="103">
        <f t="shared" si="20"/>
        <v>12</v>
      </c>
      <c r="Q32" s="103">
        <f t="shared" si="20"/>
        <v>13</v>
      </c>
    </row>
    <row r="33" spans="1:41" s="118" customFormat="1" ht="12" customHeight="1" thickBot="1">
      <c r="A33" s="64"/>
      <c r="C33" s="77" t="s">
        <v>22</v>
      </c>
      <c r="D33" s="66"/>
      <c r="E33" s="148">
        <f aca="true" t="shared" si="21" ref="E33:Q33">E29</f>
        <v>195</v>
      </c>
      <c r="F33" s="148">
        <f t="shared" si="21"/>
        <v>364</v>
      </c>
      <c r="G33" s="149">
        <f t="shared" si="21"/>
        <v>403</v>
      </c>
      <c r="H33" s="110">
        <f t="shared" si="21"/>
        <v>419.2500000000001</v>
      </c>
      <c r="I33" s="110">
        <f t="shared" si="21"/>
        <v>427.63500000000016</v>
      </c>
      <c r="J33" s="110">
        <f t="shared" si="21"/>
        <v>436.1877000000002</v>
      </c>
      <c r="K33" s="110">
        <f t="shared" si="21"/>
        <v>444.911454</v>
      </c>
      <c r="L33" s="110">
        <f t="shared" si="21"/>
        <v>453.8096830800001</v>
      </c>
      <c r="M33" s="131">
        <f t="shared" si="21"/>
        <v>462.8858767416001</v>
      </c>
      <c r="N33" s="110">
        <f t="shared" si="21"/>
        <v>472.14359427643217</v>
      </c>
      <c r="O33" s="110">
        <f t="shared" si="21"/>
        <v>481.5864661619607</v>
      </c>
      <c r="P33" s="110">
        <f t="shared" si="21"/>
        <v>491.2181954852</v>
      </c>
      <c r="Q33" s="110">
        <f t="shared" si="21"/>
        <v>501.04255939490395</v>
      </c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</row>
    <row r="34" spans="1:17" ht="12.75" customHeight="1">
      <c r="A34" s="16">
        <v>27</v>
      </c>
      <c r="C34" s="4" t="s">
        <v>23</v>
      </c>
      <c r="E34" s="4">
        <f aca="true" t="shared" si="22" ref="E34:Q34">E23</f>
        <v>200</v>
      </c>
      <c r="F34" s="1">
        <f t="shared" si="22"/>
        <v>250</v>
      </c>
      <c r="G34" s="29">
        <f t="shared" si="22"/>
        <v>270</v>
      </c>
      <c r="H34" s="1">
        <f t="shared" si="22"/>
        <v>275.4</v>
      </c>
      <c r="I34" s="1">
        <f t="shared" si="22"/>
        <v>280.90799999999996</v>
      </c>
      <c r="J34" s="3">
        <f t="shared" si="22"/>
        <v>286.52615999999995</v>
      </c>
      <c r="K34" s="3">
        <f t="shared" si="22"/>
        <v>292.25668319999994</v>
      </c>
      <c r="L34" s="3">
        <f t="shared" si="22"/>
        <v>298.10181686399994</v>
      </c>
      <c r="M34" s="35">
        <f t="shared" si="22"/>
        <v>304.0638532012799</v>
      </c>
      <c r="N34" s="3">
        <f t="shared" si="22"/>
        <v>310.1451302653055</v>
      </c>
      <c r="O34" s="3">
        <f t="shared" si="22"/>
        <v>316.34803287061163</v>
      </c>
      <c r="P34" s="3">
        <f t="shared" si="22"/>
        <v>322.6749935280239</v>
      </c>
      <c r="Q34" s="3">
        <f t="shared" si="22"/>
        <v>329.1284933985844</v>
      </c>
    </row>
    <row r="35" spans="1:17" ht="12" customHeight="1">
      <c r="A35" s="16">
        <v>28</v>
      </c>
      <c r="C35" s="4" t="s">
        <v>24</v>
      </c>
      <c r="E35" s="4">
        <f aca="true" t="shared" si="23" ref="E35:Q35">E58-D58</f>
        <v>0</v>
      </c>
      <c r="F35" s="1">
        <f t="shared" si="23"/>
        <v>0</v>
      </c>
      <c r="G35" s="29">
        <f t="shared" si="23"/>
        <v>0</v>
      </c>
      <c r="H35" s="1">
        <f t="shared" si="23"/>
        <v>30</v>
      </c>
      <c r="I35" s="1">
        <f t="shared" si="23"/>
        <v>30.600000000000136</v>
      </c>
      <c r="J35" s="3">
        <f t="shared" si="23"/>
        <v>31.21199999999999</v>
      </c>
      <c r="K35" s="3">
        <f t="shared" si="23"/>
        <v>31.83624000000009</v>
      </c>
      <c r="L35" s="3">
        <f t="shared" si="23"/>
        <v>32.4729648</v>
      </c>
      <c r="M35" s="35">
        <f t="shared" si="23"/>
        <v>33.12242409600003</v>
      </c>
      <c r="N35" s="3">
        <f t="shared" si="23"/>
        <v>33.78487257791994</v>
      </c>
      <c r="O35" s="3">
        <f t="shared" si="23"/>
        <v>34.460570029478504</v>
      </c>
      <c r="P35" s="3">
        <f t="shared" si="23"/>
        <v>35.14978143006806</v>
      </c>
      <c r="Q35" s="3">
        <f t="shared" si="23"/>
        <v>35.85277705866929</v>
      </c>
    </row>
    <row r="36" spans="1:17" ht="12" customHeight="1">
      <c r="A36" s="16">
        <v>29</v>
      </c>
      <c r="C36" s="4" t="s">
        <v>25</v>
      </c>
      <c r="E36" s="4">
        <f aca="true" t="shared" si="24" ref="E36:Q36">D17-E17</f>
        <v>-30</v>
      </c>
      <c r="F36" s="4">
        <f t="shared" si="24"/>
        <v>-85</v>
      </c>
      <c r="G36" s="32">
        <f t="shared" si="24"/>
        <v>-35</v>
      </c>
      <c r="H36" s="4">
        <f t="shared" si="24"/>
        <v>-11</v>
      </c>
      <c r="I36" s="4">
        <f t="shared" si="24"/>
        <v>-11.220000000000027</v>
      </c>
      <c r="J36" s="4">
        <f t="shared" si="24"/>
        <v>-11.444399999999973</v>
      </c>
      <c r="K36" s="4">
        <f t="shared" si="24"/>
        <v>-11.673287999999957</v>
      </c>
      <c r="L36" s="4">
        <f t="shared" si="24"/>
        <v>-11.906753760000015</v>
      </c>
      <c r="M36" s="32">
        <f t="shared" si="24"/>
        <v>-12.14488883520005</v>
      </c>
      <c r="N36" s="1">
        <f t="shared" si="24"/>
        <v>-12.387786611904062</v>
      </c>
      <c r="O36" s="1">
        <f t="shared" si="24"/>
        <v>-12.635542344142095</v>
      </c>
      <c r="P36" s="1">
        <f t="shared" si="24"/>
        <v>-12.888253191024887</v>
      </c>
      <c r="Q36" s="4">
        <f t="shared" si="24"/>
        <v>-13.146018254845444</v>
      </c>
    </row>
    <row r="37" spans="1:17" ht="12" customHeight="1">
      <c r="A37" s="16">
        <v>30</v>
      </c>
      <c r="C37" s="4" t="s">
        <v>26</v>
      </c>
      <c r="E37" s="4">
        <f aca="true" t="shared" si="25" ref="E37:Q37">D8-E8</f>
        <v>-200</v>
      </c>
      <c r="F37" s="1">
        <f t="shared" si="25"/>
        <v>-500</v>
      </c>
      <c r="G37" s="29">
        <f t="shared" si="25"/>
        <v>-300</v>
      </c>
      <c r="H37" s="1">
        <f t="shared" si="25"/>
        <v>-313</v>
      </c>
      <c r="I37" s="1">
        <f t="shared" si="25"/>
        <v>-319.2600000000002</v>
      </c>
      <c r="J37" s="3">
        <f t="shared" si="25"/>
        <v>-325.64519999999993</v>
      </c>
      <c r="K37" s="3">
        <f t="shared" si="25"/>
        <v>-332.1581040000001</v>
      </c>
      <c r="L37" s="3">
        <f t="shared" si="25"/>
        <v>-338.80126608000046</v>
      </c>
      <c r="M37" s="35">
        <f t="shared" si="25"/>
        <v>-345.5772914015997</v>
      </c>
      <c r="N37" s="3">
        <f t="shared" si="25"/>
        <v>-352.4888372296318</v>
      </c>
      <c r="O37" s="3">
        <f t="shared" si="25"/>
        <v>-359.53861397422406</v>
      </c>
      <c r="P37" s="3">
        <f t="shared" si="25"/>
        <v>-366.7293862537099</v>
      </c>
      <c r="Q37" s="3">
        <f t="shared" si="25"/>
        <v>-374.0639739787839</v>
      </c>
    </row>
    <row r="38" spans="1:17" ht="12" customHeight="1" hidden="1">
      <c r="A38" s="16">
        <v>31</v>
      </c>
      <c r="C38" s="4" t="s">
        <v>27</v>
      </c>
      <c r="D38" s="4" t="s">
        <v>28</v>
      </c>
      <c r="F38" s="1"/>
      <c r="G38" s="29"/>
      <c r="H38" s="1"/>
      <c r="I38" s="1"/>
      <c r="J38" s="3"/>
      <c r="K38" s="3"/>
      <c r="L38" s="3"/>
      <c r="M38" s="35"/>
      <c r="N38" s="3"/>
      <c r="O38" s="3"/>
      <c r="P38" s="3"/>
      <c r="Q38" s="3"/>
    </row>
    <row r="39" spans="1:17" ht="12" customHeight="1" hidden="1">
      <c r="A39" s="16">
        <v>32</v>
      </c>
      <c r="C39" s="4" t="s">
        <v>29</v>
      </c>
      <c r="F39" s="1"/>
      <c r="G39" s="29"/>
      <c r="H39" s="1"/>
      <c r="I39" s="1"/>
      <c r="J39" s="3"/>
      <c r="K39" s="3"/>
      <c r="L39" s="3"/>
      <c r="M39" s="35"/>
      <c r="N39" s="3"/>
      <c r="O39" s="3"/>
      <c r="P39" s="3"/>
      <c r="Q39" s="3"/>
    </row>
    <row r="40" spans="1:44" ht="12" customHeight="1">
      <c r="A40" s="45">
        <v>33</v>
      </c>
      <c r="B40" s="42"/>
      <c r="C40" s="39" t="s">
        <v>30</v>
      </c>
      <c r="D40" s="42"/>
      <c r="E40" s="59">
        <f aca="true" t="shared" si="26" ref="E40:Q40">E29+E34+E37+E35+E36+E39+E38</f>
        <v>165</v>
      </c>
      <c r="F40" s="59">
        <f t="shared" si="26"/>
        <v>29</v>
      </c>
      <c r="G40" s="60">
        <f t="shared" si="26"/>
        <v>338</v>
      </c>
      <c r="H40" s="59">
        <f t="shared" si="26"/>
        <v>400.6500000000001</v>
      </c>
      <c r="I40" s="59">
        <f t="shared" si="26"/>
        <v>408.663</v>
      </c>
      <c r="J40" s="59">
        <f t="shared" si="26"/>
        <v>416.83626000000015</v>
      </c>
      <c r="K40" s="59">
        <f t="shared" si="26"/>
        <v>425.17298519999997</v>
      </c>
      <c r="L40" s="59">
        <f t="shared" si="26"/>
        <v>433.6764449039996</v>
      </c>
      <c r="M40" s="60">
        <f t="shared" si="26"/>
        <v>442.3499738020803</v>
      </c>
      <c r="N40" s="59">
        <f t="shared" si="26"/>
        <v>451.19697327812173</v>
      </c>
      <c r="O40" s="59">
        <f t="shared" si="26"/>
        <v>460.2209127436847</v>
      </c>
      <c r="P40" s="59">
        <f t="shared" si="26"/>
        <v>469.42533099855723</v>
      </c>
      <c r="Q40" s="59">
        <f t="shared" si="26"/>
        <v>478.8138376185283</v>
      </c>
      <c r="R40" s="69">
        <f aca="true" t="shared" si="27" ref="R40:AR40">Q40*(1+$O$5)</f>
        <v>488.39011437089886</v>
      </c>
      <c r="S40" s="69">
        <f t="shared" si="27"/>
        <v>498.1579166583168</v>
      </c>
      <c r="T40" s="69">
        <f t="shared" si="27"/>
        <v>508.12107499148317</v>
      </c>
      <c r="U40" s="69">
        <f t="shared" si="27"/>
        <v>518.2834964913128</v>
      </c>
      <c r="V40" s="69">
        <f t="shared" si="27"/>
        <v>528.6491664211391</v>
      </c>
      <c r="W40" s="69">
        <f t="shared" si="27"/>
        <v>539.2221497495618</v>
      </c>
      <c r="X40" s="69">
        <f t="shared" si="27"/>
        <v>550.006592744553</v>
      </c>
      <c r="Y40" s="69">
        <f t="shared" si="27"/>
        <v>561.006724599444</v>
      </c>
      <c r="Z40" s="69">
        <f t="shared" si="27"/>
        <v>572.226859091433</v>
      </c>
      <c r="AA40" s="69">
        <f t="shared" si="27"/>
        <v>583.6713962732616</v>
      </c>
      <c r="AB40" s="69">
        <f t="shared" si="27"/>
        <v>595.3448241987269</v>
      </c>
      <c r="AC40" s="69">
        <f t="shared" si="27"/>
        <v>607.2517206827014</v>
      </c>
      <c r="AD40" s="69">
        <f t="shared" si="27"/>
        <v>619.3967550963554</v>
      </c>
      <c r="AE40" s="69">
        <f t="shared" si="27"/>
        <v>631.7846901982825</v>
      </c>
      <c r="AF40" s="69">
        <f t="shared" si="27"/>
        <v>644.4203840022482</v>
      </c>
      <c r="AG40" s="69">
        <f t="shared" si="27"/>
        <v>657.3087916822932</v>
      </c>
      <c r="AH40" s="69">
        <f t="shared" si="27"/>
        <v>670.4549675159391</v>
      </c>
      <c r="AI40" s="69">
        <f t="shared" si="27"/>
        <v>683.8640668662579</v>
      </c>
      <c r="AJ40" s="69">
        <f t="shared" si="27"/>
        <v>697.5413482035831</v>
      </c>
      <c r="AK40" s="69">
        <f t="shared" si="27"/>
        <v>711.4921751676548</v>
      </c>
      <c r="AL40" s="69">
        <f t="shared" si="27"/>
        <v>725.7220186710078</v>
      </c>
      <c r="AM40" s="69">
        <f t="shared" si="27"/>
        <v>740.236459044428</v>
      </c>
      <c r="AN40" s="69">
        <f t="shared" si="27"/>
        <v>755.0411882253165</v>
      </c>
      <c r="AO40" s="69">
        <f t="shared" si="27"/>
        <v>770.1420119898229</v>
      </c>
      <c r="AP40" s="69">
        <f t="shared" si="27"/>
        <v>785.5448522296193</v>
      </c>
      <c r="AQ40" s="69">
        <f t="shared" si="27"/>
        <v>801.2557492742118</v>
      </c>
      <c r="AR40" s="69">
        <f t="shared" si="27"/>
        <v>817.280864259696</v>
      </c>
    </row>
    <row r="41" spans="1:41" s="7" customFormat="1" ht="12" customHeight="1">
      <c r="A41" s="45">
        <v>34</v>
      </c>
      <c r="B41" s="39"/>
      <c r="C41" s="39" t="s">
        <v>31</v>
      </c>
      <c r="D41" s="39"/>
      <c r="E41" s="59">
        <f aca="true" t="shared" si="28" ref="E41:Q41">E40+E25*(1-$F1)-E35</f>
        <v>243</v>
      </c>
      <c r="F41" s="59">
        <f t="shared" si="28"/>
        <v>107</v>
      </c>
      <c r="G41" s="60">
        <f t="shared" si="28"/>
        <v>416</v>
      </c>
      <c r="H41" s="59">
        <f t="shared" si="28"/>
        <v>448.6500000000001</v>
      </c>
      <c r="I41" s="59">
        <f t="shared" si="28"/>
        <v>457.6229999999999</v>
      </c>
      <c r="J41" s="59">
        <f t="shared" si="28"/>
        <v>466.7754600000002</v>
      </c>
      <c r="K41" s="59">
        <f t="shared" si="28"/>
        <v>476.1109691999999</v>
      </c>
      <c r="L41" s="59">
        <f t="shared" si="28"/>
        <v>485.63318858399964</v>
      </c>
      <c r="M41" s="60">
        <f t="shared" si="28"/>
        <v>495.3458523556802</v>
      </c>
      <c r="N41" s="59">
        <f t="shared" si="28"/>
        <v>505.2527694027938</v>
      </c>
      <c r="O41" s="59">
        <f t="shared" si="28"/>
        <v>515.35782479085</v>
      </c>
      <c r="P41" s="59">
        <f t="shared" si="28"/>
        <v>525.6649812866659</v>
      </c>
      <c r="Q41" s="52">
        <f t="shared" si="28"/>
        <v>536.1782809123993</v>
      </c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</row>
    <row r="42" spans="1:41" s="39" customFormat="1" ht="12" customHeight="1">
      <c r="A42" s="45">
        <v>35</v>
      </c>
      <c r="C42" s="39" t="s">
        <v>32</v>
      </c>
      <c r="E42" s="59">
        <f aca="true" t="shared" si="29" ref="E42:P42">E25-E35</f>
        <v>120</v>
      </c>
      <c r="F42" s="59">
        <f t="shared" si="29"/>
        <v>120</v>
      </c>
      <c r="G42" s="60">
        <f t="shared" si="29"/>
        <v>120</v>
      </c>
      <c r="H42" s="59">
        <f t="shared" si="29"/>
        <v>90</v>
      </c>
      <c r="I42" s="59">
        <f t="shared" si="29"/>
        <v>91.79999999999987</v>
      </c>
      <c r="J42" s="59">
        <f t="shared" si="29"/>
        <v>93.63600000000002</v>
      </c>
      <c r="K42" s="59">
        <f t="shared" si="29"/>
        <v>95.50871999999993</v>
      </c>
      <c r="L42" s="59">
        <f t="shared" si="29"/>
        <v>97.41889440000003</v>
      </c>
      <c r="M42" s="60">
        <f t="shared" si="29"/>
        <v>99.36727228799998</v>
      </c>
      <c r="N42" s="59">
        <f t="shared" si="29"/>
        <v>101.35461773376008</v>
      </c>
      <c r="O42" s="59">
        <f t="shared" si="29"/>
        <v>103.38171008843511</v>
      </c>
      <c r="P42" s="59">
        <f t="shared" si="29"/>
        <v>105.44934429020384</v>
      </c>
      <c r="Q42" s="160">
        <f>Q25-Q35+P42*(1+O$5)*(1+O$5)/(D64-O$5)</f>
        <v>1936.0499611681425</v>
      </c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</row>
    <row r="43" spans="1:41" s="7" customFormat="1" ht="12" customHeight="1">
      <c r="A43" s="45">
        <v>36</v>
      </c>
      <c r="B43" s="39"/>
      <c r="C43" s="39" t="s">
        <v>33</v>
      </c>
      <c r="D43" s="63"/>
      <c r="E43" s="59">
        <f>E40+E42</f>
        <v>285</v>
      </c>
      <c r="F43" s="59">
        <f aca="true" t="shared" si="30" ref="F43:P43">F40+F42</f>
        <v>149</v>
      </c>
      <c r="G43" s="60">
        <f t="shared" si="30"/>
        <v>458</v>
      </c>
      <c r="H43" s="59">
        <f t="shared" si="30"/>
        <v>490.6500000000001</v>
      </c>
      <c r="I43" s="59">
        <f t="shared" si="30"/>
        <v>500.46299999999985</v>
      </c>
      <c r="J43" s="59">
        <f t="shared" si="30"/>
        <v>510.4722600000002</v>
      </c>
      <c r="K43" s="59">
        <f t="shared" si="30"/>
        <v>520.6817051999999</v>
      </c>
      <c r="L43" s="59">
        <f t="shared" si="30"/>
        <v>531.0953393039996</v>
      </c>
      <c r="M43" s="60">
        <f t="shared" si="30"/>
        <v>541.7172460900803</v>
      </c>
      <c r="N43" s="59">
        <f t="shared" si="30"/>
        <v>552.5515910118818</v>
      </c>
      <c r="O43" s="59">
        <f t="shared" si="30"/>
        <v>563.6026228321198</v>
      </c>
      <c r="P43" s="59">
        <f t="shared" si="30"/>
        <v>574.8746752887611</v>
      </c>
      <c r="Q43" s="4">
        <f>P43*(1+$O$5)</f>
        <v>586.3721687945363</v>
      </c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</row>
    <row r="44" spans="1:41" s="7" customFormat="1" ht="12" customHeight="1">
      <c r="A44" s="55"/>
      <c r="B44" s="56"/>
      <c r="C44" s="56"/>
      <c r="D44" s="92"/>
      <c r="E44" s="61"/>
      <c r="F44" s="61"/>
      <c r="G44" s="62"/>
      <c r="H44" s="61"/>
      <c r="I44" s="61"/>
      <c r="J44" s="61"/>
      <c r="K44" s="61"/>
      <c r="L44" s="61"/>
      <c r="M44" s="61"/>
      <c r="N44" s="61"/>
      <c r="O44" s="61"/>
      <c r="P44" s="61"/>
      <c r="Q44" s="4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</row>
    <row r="45" spans="1:41" s="7" customFormat="1" ht="15.75" customHeight="1">
      <c r="A45" s="55"/>
      <c r="B45" s="56"/>
      <c r="C45" s="167" t="s">
        <v>123</v>
      </c>
      <c r="D45" s="92"/>
      <c r="E45" s="61"/>
      <c r="F45" s="155" t="s">
        <v>34</v>
      </c>
      <c r="G45" s="62"/>
      <c r="H45" s="61"/>
      <c r="I45" s="61"/>
      <c r="J45" s="61"/>
      <c r="K45" s="61"/>
      <c r="L45" s="61"/>
      <c r="M45" s="61"/>
      <c r="N45" s="61"/>
      <c r="O45" s="61"/>
      <c r="P45" s="61"/>
      <c r="Q45" s="4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</row>
    <row r="46" spans="1:41" s="7" customFormat="1" ht="12" customHeight="1">
      <c r="A46" s="55"/>
      <c r="B46" s="56"/>
      <c r="C46" s="56"/>
      <c r="D46" s="92"/>
      <c r="E46" s="61"/>
      <c r="F46" s="61"/>
      <c r="G46" s="62"/>
      <c r="H46" s="61"/>
      <c r="I46" s="61"/>
      <c r="J46" s="61"/>
      <c r="K46" s="61"/>
      <c r="L46" s="61"/>
      <c r="M46" s="61"/>
      <c r="N46" s="61"/>
      <c r="O46" s="61"/>
      <c r="P46" s="61"/>
      <c r="Q46" s="4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</row>
    <row r="47" spans="1:17" ht="12" customHeight="1" thickBot="1">
      <c r="A47" s="16"/>
      <c r="B47"/>
      <c r="C47"/>
      <c r="D47" s="66">
        <v>0</v>
      </c>
      <c r="E47" s="66">
        <v>1</v>
      </c>
      <c r="F47" s="66">
        <f aca="true" t="shared" si="31" ref="F47:Q47">E47+1</f>
        <v>2</v>
      </c>
      <c r="G47" s="150">
        <f t="shared" si="31"/>
        <v>3</v>
      </c>
      <c r="H47" s="66">
        <f t="shared" si="31"/>
        <v>4</v>
      </c>
      <c r="I47" s="103">
        <f t="shared" si="31"/>
        <v>5</v>
      </c>
      <c r="J47" s="103">
        <f t="shared" si="31"/>
        <v>6</v>
      </c>
      <c r="K47" s="103">
        <f t="shared" si="31"/>
        <v>7</v>
      </c>
      <c r="L47" s="103">
        <f t="shared" si="31"/>
        <v>8</v>
      </c>
      <c r="M47" s="111">
        <f t="shared" si="31"/>
        <v>9</v>
      </c>
      <c r="N47" s="103">
        <f t="shared" si="31"/>
        <v>10</v>
      </c>
      <c r="O47" s="103">
        <f t="shared" si="31"/>
        <v>11</v>
      </c>
      <c r="P47" s="103">
        <f t="shared" si="31"/>
        <v>12</v>
      </c>
      <c r="Q47" s="103">
        <f t="shared" si="31"/>
        <v>13</v>
      </c>
    </row>
    <row r="48" spans="1:17" ht="12" customHeight="1">
      <c r="A48" s="16"/>
      <c r="C48" s="4" t="s">
        <v>35</v>
      </c>
      <c r="D48" s="43">
        <f>$D$1</f>
        <v>1</v>
      </c>
      <c r="E48" s="43">
        <f aca="true" t="shared" si="32" ref="E48:Q48">D48</f>
        <v>1</v>
      </c>
      <c r="F48" s="43">
        <f t="shared" si="32"/>
        <v>1</v>
      </c>
      <c r="G48" s="143">
        <f t="shared" si="32"/>
        <v>1</v>
      </c>
      <c r="H48" s="43">
        <f t="shared" si="32"/>
        <v>1</v>
      </c>
      <c r="I48" s="43">
        <f t="shared" si="32"/>
        <v>1</v>
      </c>
      <c r="J48" s="43">
        <f t="shared" si="32"/>
        <v>1</v>
      </c>
      <c r="K48" s="43">
        <f t="shared" si="32"/>
        <v>1</v>
      </c>
      <c r="L48" s="43">
        <f t="shared" si="32"/>
        <v>1</v>
      </c>
      <c r="M48" s="8">
        <f t="shared" si="32"/>
        <v>1</v>
      </c>
      <c r="N48" s="43">
        <f t="shared" si="32"/>
        <v>1</v>
      </c>
      <c r="O48" s="43">
        <f t="shared" si="32"/>
        <v>1</v>
      </c>
      <c r="P48" s="8">
        <f t="shared" si="32"/>
        <v>1</v>
      </c>
      <c r="Q48" s="161">
        <f t="shared" si="32"/>
        <v>1</v>
      </c>
    </row>
    <row r="49" spans="1:17" ht="12" customHeight="1">
      <c r="A49" s="16"/>
      <c r="C49" s="4" t="s">
        <v>2</v>
      </c>
      <c r="D49" s="11">
        <f>$D$2</f>
        <v>0.06</v>
      </c>
      <c r="E49" s="11">
        <f aca="true" t="shared" si="33" ref="E49:Q49">D49</f>
        <v>0.06</v>
      </c>
      <c r="F49" s="11">
        <f t="shared" si="33"/>
        <v>0.06</v>
      </c>
      <c r="G49" s="54">
        <f t="shared" si="33"/>
        <v>0.06</v>
      </c>
      <c r="H49" s="11">
        <f t="shared" si="33"/>
        <v>0.06</v>
      </c>
      <c r="I49" s="11">
        <f t="shared" si="33"/>
        <v>0.06</v>
      </c>
      <c r="J49" s="11">
        <f t="shared" si="33"/>
        <v>0.06</v>
      </c>
      <c r="K49" s="11">
        <f t="shared" si="33"/>
        <v>0.06</v>
      </c>
      <c r="L49" s="11">
        <f t="shared" si="33"/>
        <v>0.06</v>
      </c>
      <c r="M49" s="54">
        <f t="shared" si="33"/>
        <v>0.06</v>
      </c>
      <c r="N49" s="11">
        <f t="shared" si="33"/>
        <v>0.06</v>
      </c>
      <c r="O49" s="11">
        <f t="shared" si="33"/>
        <v>0.06</v>
      </c>
      <c r="P49" s="11">
        <f t="shared" si="33"/>
        <v>0.06</v>
      </c>
      <c r="Q49" s="11">
        <f t="shared" si="33"/>
        <v>0.06</v>
      </c>
    </row>
    <row r="50" spans="1:17" ht="12" customHeight="1">
      <c r="A50" s="16"/>
      <c r="C50" s="4" t="s">
        <v>115</v>
      </c>
      <c r="D50" s="11">
        <f>$D$3</f>
        <v>0.04</v>
      </c>
      <c r="E50" s="11">
        <f aca="true" t="shared" si="34" ref="E50:Q50">D50</f>
        <v>0.04</v>
      </c>
      <c r="F50" s="11">
        <f t="shared" si="34"/>
        <v>0.04</v>
      </c>
      <c r="G50" s="54">
        <f t="shared" si="34"/>
        <v>0.04</v>
      </c>
      <c r="H50" s="11">
        <f t="shared" si="34"/>
        <v>0.04</v>
      </c>
      <c r="I50" s="11">
        <f t="shared" si="34"/>
        <v>0.04</v>
      </c>
      <c r="J50" s="11">
        <f t="shared" si="34"/>
        <v>0.04</v>
      </c>
      <c r="K50" s="11">
        <f t="shared" si="34"/>
        <v>0.04</v>
      </c>
      <c r="L50" s="11">
        <f t="shared" si="34"/>
        <v>0.04</v>
      </c>
      <c r="M50" s="54">
        <f t="shared" si="34"/>
        <v>0.04</v>
      </c>
      <c r="N50" s="11">
        <f t="shared" si="34"/>
        <v>0.04</v>
      </c>
      <c r="O50" s="11">
        <f t="shared" si="34"/>
        <v>0.04</v>
      </c>
      <c r="P50" s="11">
        <f t="shared" si="34"/>
        <v>0.04</v>
      </c>
      <c r="Q50" s="11">
        <f t="shared" si="34"/>
        <v>0.04</v>
      </c>
    </row>
    <row r="51" spans="1:41" s="7" customFormat="1" ht="10.5" customHeight="1">
      <c r="A51" s="16"/>
      <c r="C51" s="7" t="s">
        <v>36</v>
      </c>
      <c r="D51" s="51">
        <f aca="true" t="shared" si="35" ref="D51:Q51">D49+D48*D50</f>
        <v>0.1</v>
      </c>
      <c r="E51" s="51">
        <f t="shared" si="35"/>
        <v>0.1</v>
      </c>
      <c r="F51" s="51">
        <f t="shared" si="35"/>
        <v>0.1</v>
      </c>
      <c r="G51" s="50">
        <f t="shared" si="35"/>
        <v>0.1</v>
      </c>
      <c r="H51" s="51">
        <f t="shared" si="35"/>
        <v>0.1</v>
      </c>
      <c r="I51" s="51">
        <f t="shared" si="35"/>
        <v>0.1</v>
      </c>
      <c r="J51" s="51">
        <f t="shared" si="35"/>
        <v>0.1</v>
      </c>
      <c r="K51" s="51">
        <f t="shared" si="35"/>
        <v>0.1</v>
      </c>
      <c r="L51" s="51">
        <f t="shared" si="35"/>
        <v>0.1</v>
      </c>
      <c r="M51" s="50">
        <f t="shared" si="35"/>
        <v>0.1</v>
      </c>
      <c r="N51" s="51">
        <f t="shared" si="35"/>
        <v>0.1</v>
      </c>
      <c r="O51" s="51">
        <f t="shared" si="35"/>
        <v>0.1</v>
      </c>
      <c r="P51" s="51">
        <f t="shared" si="35"/>
        <v>0.1</v>
      </c>
      <c r="Q51" s="51">
        <f t="shared" si="35"/>
        <v>0.1</v>
      </c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</row>
    <row r="52" spans="1:41" s="7" customFormat="1" ht="10.5" customHeight="1" hidden="1">
      <c r="A52" s="16"/>
      <c r="C52" s="21" t="s">
        <v>37</v>
      </c>
      <c r="D52" s="12">
        <v>1</v>
      </c>
      <c r="E52" s="85">
        <f aca="true" t="shared" si="36" ref="E52:Q52">D52/(1+D51)</f>
        <v>0.9090909090909091</v>
      </c>
      <c r="F52" s="85">
        <f t="shared" si="36"/>
        <v>0.8264462809917354</v>
      </c>
      <c r="G52" s="94">
        <f t="shared" si="36"/>
        <v>0.7513148009015777</v>
      </c>
      <c r="H52" s="85">
        <f t="shared" si="36"/>
        <v>0.6830134553650705</v>
      </c>
      <c r="I52" s="85">
        <f t="shared" si="36"/>
        <v>0.6209213230591549</v>
      </c>
      <c r="J52" s="85">
        <f t="shared" si="36"/>
        <v>0.5644739300537771</v>
      </c>
      <c r="K52" s="85">
        <f t="shared" si="36"/>
        <v>0.5131581182307065</v>
      </c>
      <c r="L52" s="85">
        <f t="shared" si="36"/>
        <v>0.4665073802097331</v>
      </c>
      <c r="M52" s="94">
        <f t="shared" si="36"/>
        <v>0.4240976183724846</v>
      </c>
      <c r="N52" s="85">
        <f t="shared" si="36"/>
        <v>0.3855432894295314</v>
      </c>
      <c r="O52" s="85">
        <f t="shared" si="36"/>
        <v>0.35049389948139215</v>
      </c>
      <c r="P52" s="85">
        <f t="shared" si="36"/>
        <v>0.31863081771035645</v>
      </c>
      <c r="Q52" s="85">
        <f t="shared" si="36"/>
        <v>0.2896643797366877</v>
      </c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</row>
    <row r="53" spans="3:17" ht="10.5" customHeight="1" hidden="1">
      <c r="C53" s="4" t="s">
        <v>31</v>
      </c>
      <c r="E53" s="5">
        <f aca="true" t="shared" si="37" ref="E53:P53">E41</f>
        <v>243</v>
      </c>
      <c r="F53" s="5">
        <f t="shared" si="37"/>
        <v>107</v>
      </c>
      <c r="G53" s="93">
        <f t="shared" si="37"/>
        <v>416</v>
      </c>
      <c r="H53" s="5">
        <f t="shared" si="37"/>
        <v>448.6500000000001</v>
      </c>
      <c r="I53" s="5">
        <f t="shared" si="37"/>
        <v>457.6229999999999</v>
      </c>
      <c r="J53" s="5">
        <f t="shared" si="37"/>
        <v>466.7754600000002</v>
      </c>
      <c r="K53" s="5">
        <f t="shared" si="37"/>
        <v>476.1109691999999</v>
      </c>
      <c r="L53" s="5">
        <f t="shared" si="37"/>
        <v>485.63318858399964</v>
      </c>
      <c r="M53" s="93">
        <f t="shared" si="37"/>
        <v>495.3458523556802</v>
      </c>
      <c r="N53" s="5">
        <f t="shared" si="37"/>
        <v>505.2527694027938</v>
      </c>
      <c r="O53" s="5">
        <f t="shared" si="37"/>
        <v>515.35782479085</v>
      </c>
      <c r="P53" s="5">
        <f t="shared" si="37"/>
        <v>525.6649812866659</v>
      </c>
      <c r="Q53" s="162">
        <f>P53*(1+O$5)+P53*(1+O$5)*(1+O$5)/(P51-O$5)</f>
        <v>7372.451362545489</v>
      </c>
    </row>
    <row r="54" spans="3:17" ht="10.5" customHeight="1" hidden="1">
      <c r="C54" s="21" t="s">
        <v>38</v>
      </c>
      <c r="E54" s="5">
        <f>E52*E53</f>
        <v>220.9090909090909</v>
      </c>
      <c r="F54" s="5">
        <f aca="true" t="shared" si="38" ref="F54:Q54">F52*F53</f>
        <v>88.4297520661157</v>
      </c>
      <c r="G54" s="93">
        <f t="shared" si="38"/>
        <v>312.5469571750563</v>
      </c>
      <c r="H54" s="5">
        <f t="shared" si="38"/>
        <v>306.433986749539</v>
      </c>
      <c r="I54" s="5">
        <f t="shared" si="38"/>
        <v>284.1478786222996</v>
      </c>
      <c r="J54" s="5">
        <f t="shared" si="38"/>
        <v>263.4825783588597</v>
      </c>
      <c r="K54" s="5">
        <f t="shared" si="38"/>
        <v>244.32020902366978</v>
      </c>
      <c r="L54" s="5">
        <f t="shared" si="38"/>
        <v>226.55146654922092</v>
      </c>
      <c r="M54" s="93">
        <f t="shared" si="38"/>
        <v>210.07499625473238</v>
      </c>
      <c r="N54" s="5">
        <f t="shared" si="38"/>
        <v>194.79681470893362</v>
      </c>
      <c r="O54" s="5">
        <f t="shared" si="38"/>
        <v>180.6297736391931</v>
      </c>
      <c r="P54" s="5">
        <f t="shared" si="38"/>
        <v>167.49306282906957</v>
      </c>
      <c r="Q54" s="5">
        <f t="shared" si="38"/>
        <v>2135.536551070637</v>
      </c>
    </row>
    <row r="55" spans="1:41" s="77" customFormat="1" ht="12" customHeight="1" thickBot="1">
      <c r="A55" s="64"/>
      <c r="C55" s="78" t="s">
        <v>39</v>
      </c>
      <c r="D55" s="79">
        <f>SUM(E54:$Q54)/D52</f>
        <v>4835.353117956418</v>
      </c>
      <c r="E55" s="79">
        <f>SUM(F54:$Q54)/E52</f>
        <v>5075.888429752059</v>
      </c>
      <c r="F55" s="79">
        <f>SUM(G54:$Q54)/F52</f>
        <v>5476.477272727266</v>
      </c>
      <c r="G55" s="95">
        <f>SUM(H54:$Q54)/G52</f>
        <v>5608.124999999993</v>
      </c>
      <c r="H55" s="79">
        <f>SUM(I54:$Q54)/H52</f>
        <v>5720.287499999992</v>
      </c>
      <c r="I55" s="79">
        <f>SUM(J54:$Q54)/I52</f>
        <v>5834.693249999993</v>
      </c>
      <c r="J55" s="79">
        <f>SUM(K54:$Q54)/J52</f>
        <v>5951.387114999992</v>
      </c>
      <c r="K55" s="79">
        <f>SUM(L54:$Q54)/K52</f>
        <v>6070.414857299992</v>
      </c>
      <c r="L55" s="79">
        <f>SUM(M54:$Q54)/L52</f>
        <v>6191.823154445992</v>
      </c>
      <c r="M55" s="95">
        <f>SUM(N54:$Q54)/M52</f>
        <v>6315.659617534911</v>
      </c>
      <c r="N55" s="79">
        <f>SUM(O54:$Q54)/N52</f>
        <v>6441.972809885611</v>
      </c>
      <c r="O55" s="79">
        <f>SUM(P54:$Q54)/O52</f>
        <v>6570.812266083322</v>
      </c>
      <c r="P55" s="79">
        <f>SUM(Q54:$Q54)/P52</f>
        <v>6702.22851140499</v>
      </c>
      <c r="Q55" s="80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</row>
    <row r="56" spans="1:17" ht="10.5" hidden="1">
      <c r="A56" s="16"/>
      <c r="C56" s="6" t="s">
        <v>40</v>
      </c>
      <c r="D56" s="6"/>
      <c r="E56" s="44" t="e">
        <f>#REF!/#REF!-1</f>
        <v>#REF!</v>
      </c>
      <c r="F56" s="44" t="e">
        <f>#REF!/#REF!-1</f>
        <v>#REF!</v>
      </c>
      <c r="G56" s="30" t="e">
        <f>#REF!/#REF!-1</f>
        <v>#REF!</v>
      </c>
      <c r="H56" s="44" t="e">
        <f>#REF!/#REF!-1</f>
        <v>#REF!</v>
      </c>
      <c r="I56" s="44" t="e">
        <f>#REF!/#REF!-1</f>
        <v>#REF!</v>
      </c>
      <c r="J56" s="44" t="e">
        <f>#REF!/#REF!-1</f>
        <v>#REF!</v>
      </c>
      <c r="K56" s="44" t="e">
        <f>#REF!/#REF!-1</f>
        <v>#REF!</v>
      </c>
      <c r="L56" s="44" t="e">
        <f>#REF!/#REF!-1</f>
        <v>#REF!</v>
      </c>
      <c r="M56" s="30" t="e">
        <f>#REF!/#REF!-1</f>
        <v>#REF!</v>
      </c>
      <c r="N56" s="44" t="e">
        <f>#REF!/#REF!-1</f>
        <v>#REF!</v>
      </c>
      <c r="O56" s="44" t="e">
        <f>#REF!/#REF!-1</f>
        <v>#REF!</v>
      </c>
      <c r="P56" s="44" t="e">
        <f>#REF!/#REF!-1</f>
        <v>#REF!</v>
      </c>
      <c r="Q56" s="44" t="e">
        <f>Q55/#REF!-1</f>
        <v>#REF!</v>
      </c>
    </row>
    <row r="57" spans="1:17" ht="6.75" customHeight="1">
      <c r="A57" s="16"/>
      <c r="D57" s="1"/>
      <c r="E57" s="1"/>
      <c r="F57" s="1"/>
      <c r="G57" s="29"/>
      <c r="H57" s="1"/>
      <c r="I57" s="1"/>
      <c r="J57" s="3"/>
      <c r="K57" s="3"/>
      <c r="L57" s="3"/>
      <c r="M57" s="35"/>
      <c r="N57" s="3"/>
      <c r="O57" s="3"/>
      <c r="P57" s="3"/>
      <c r="Q57" s="3"/>
    </row>
    <row r="58" spans="1:17" ht="12.75" customHeight="1">
      <c r="A58" s="16"/>
      <c r="C58" s="4" t="s">
        <v>41</v>
      </c>
      <c r="D58" s="1">
        <f aca="true" t="shared" si="39" ref="D58:Q58">D$13</f>
        <v>1500</v>
      </c>
      <c r="E58" s="1">
        <f t="shared" si="39"/>
        <v>1500</v>
      </c>
      <c r="F58" s="1">
        <f t="shared" si="39"/>
        <v>1500</v>
      </c>
      <c r="G58" s="1">
        <f t="shared" si="39"/>
        <v>1500</v>
      </c>
      <c r="H58" s="1">
        <f t="shared" si="39"/>
        <v>1530</v>
      </c>
      <c r="I58" s="1">
        <f t="shared" si="39"/>
        <v>1560.6000000000001</v>
      </c>
      <c r="J58" s="1">
        <f t="shared" si="39"/>
        <v>1591.8120000000001</v>
      </c>
      <c r="K58" s="1">
        <f t="shared" si="39"/>
        <v>1623.6482400000002</v>
      </c>
      <c r="L58" s="1">
        <f t="shared" si="39"/>
        <v>1656.1212048000002</v>
      </c>
      <c r="M58" s="1">
        <f t="shared" si="39"/>
        <v>1689.2436288960002</v>
      </c>
      <c r="N58" s="1">
        <f t="shared" si="39"/>
        <v>1723.0285014739202</v>
      </c>
      <c r="O58" s="1">
        <f t="shared" si="39"/>
        <v>1757.4890715033987</v>
      </c>
      <c r="P58" s="1">
        <f t="shared" si="39"/>
        <v>1792.6388529334668</v>
      </c>
      <c r="Q58" s="1">
        <f t="shared" si="39"/>
        <v>1828.491629992136</v>
      </c>
    </row>
    <row r="59" spans="1:17" s="69" customFormat="1" ht="12.75" customHeight="1" hidden="1">
      <c r="A59" s="55"/>
      <c r="C59" s="21" t="s">
        <v>42</v>
      </c>
      <c r="D59" s="12">
        <v>1</v>
      </c>
      <c r="E59" s="85">
        <f aca="true" t="shared" si="40" ref="E59:Q59">D59/(1+D$64)</f>
        <v>0.9259259259259258</v>
      </c>
      <c r="F59" s="85">
        <f t="shared" si="40"/>
        <v>0.8573388203017831</v>
      </c>
      <c r="G59" s="85">
        <f t="shared" si="40"/>
        <v>0.7938322410201695</v>
      </c>
      <c r="H59" s="85">
        <f t="shared" si="40"/>
        <v>0.7350298527964532</v>
      </c>
      <c r="I59" s="85">
        <f t="shared" si="40"/>
        <v>0.6805831970337529</v>
      </c>
      <c r="J59" s="85">
        <f t="shared" si="40"/>
        <v>0.6301696268831045</v>
      </c>
      <c r="K59" s="85">
        <f t="shared" si="40"/>
        <v>0.5834903952621338</v>
      </c>
      <c r="L59" s="85">
        <f t="shared" si="40"/>
        <v>0.5402688845019756</v>
      </c>
      <c r="M59" s="85">
        <f t="shared" si="40"/>
        <v>0.5002489671314588</v>
      </c>
      <c r="N59" s="85">
        <f t="shared" si="40"/>
        <v>0.4631934880846841</v>
      </c>
      <c r="O59" s="85">
        <f t="shared" si="40"/>
        <v>0.4288828593376704</v>
      </c>
      <c r="P59" s="85">
        <f t="shared" si="40"/>
        <v>0.3971137586459911</v>
      </c>
      <c r="Q59" s="85">
        <f t="shared" si="40"/>
        <v>0.36769792467221396</v>
      </c>
    </row>
    <row r="60" spans="1:17" s="69" customFormat="1" ht="12.75" customHeight="1" hidden="1">
      <c r="A60" s="55"/>
      <c r="C60" s="4" t="s">
        <v>32</v>
      </c>
      <c r="D60" s="86"/>
      <c r="E60" s="102">
        <f>E$42</f>
        <v>120</v>
      </c>
      <c r="F60" s="102">
        <f aca="true" t="shared" si="41" ref="F60:P60">F$42</f>
        <v>120</v>
      </c>
      <c r="G60" s="102">
        <f t="shared" si="41"/>
        <v>120</v>
      </c>
      <c r="H60" s="102">
        <f t="shared" si="41"/>
        <v>90</v>
      </c>
      <c r="I60" s="102">
        <f t="shared" si="41"/>
        <v>91.79999999999987</v>
      </c>
      <c r="J60" s="102">
        <f t="shared" si="41"/>
        <v>93.63600000000002</v>
      </c>
      <c r="K60" s="102">
        <f t="shared" si="41"/>
        <v>95.50871999999993</v>
      </c>
      <c r="L60" s="102">
        <f t="shared" si="41"/>
        <v>97.41889440000003</v>
      </c>
      <c r="M60" s="102">
        <f t="shared" si="41"/>
        <v>99.36727228799998</v>
      </c>
      <c r="N60" s="102">
        <f t="shared" si="41"/>
        <v>101.35461773376008</v>
      </c>
      <c r="O60" s="102">
        <f t="shared" si="41"/>
        <v>103.38171008843511</v>
      </c>
      <c r="P60" s="102">
        <f t="shared" si="41"/>
        <v>105.44934429020384</v>
      </c>
      <c r="Q60" s="162">
        <f>P60*(1+O$5)+P60*(1+O$5)*(1+O$5)/(P64-O$5)</f>
        <v>1936.0499611681423</v>
      </c>
    </row>
    <row r="61" spans="1:17" s="69" customFormat="1" ht="12.75" customHeight="1" hidden="1">
      <c r="A61" s="55"/>
      <c r="C61" s="21" t="s">
        <v>43</v>
      </c>
      <c r="D61" s="86"/>
      <c r="E61" s="87">
        <f aca="true" t="shared" si="42" ref="E61:Q61">E60*E59</f>
        <v>111.1111111111111</v>
      </c>
      <c r="F61" s="87">
        <f t="shared" si="42"/>
        <v>102.88065843621398</v>
      </c>
      <c r="G61" s="94">
        <f t="shared" si="42"/>
        <v>95.25986892242034</v>
      </c>
      <c r="H61" s="87">
        <f t="shared" si="42"/>
        <v>66.15268675168079</v>
      </c>
      <c r="I61" s="87">
        <f t="shared" si="42"/>
        <v>62.47753748769843</v>
      </c>
      <c r="J61" s="87">
        <f t="shared" si="42"/>
        <v>59.00656318282639</v>
      </c>
      <c r="K61" s="87">
        <f t="shared" si="42"/>
        <v>55.728420783780415</v>
      </c>
      <c r="L61" s="87">
        <f t="shared" si="42"/>
        <v>52.63239740690378</v>
      </c>
      <c r="M61" s="94">
        <f t="shared" si="42"/>
        <v>49.70837532874242</v>
      </c>
      <c r="N61" s="87">
        <f t="shared" si="42"/>
        <v>46.94679892159011</v>
      </c>
      <c r="O61" s="87">
        <f t="shared" si="42"/>
        <v>44.33864342594614</v>
      </c>
      <c r="P61" s="87">
        <f t="shared" si="42"/>
        <v>41.87538545783802</v>
      </c>
      <c r="Q61" s="87">
        <f t="shared" si="42"/>
        <v>711.8815527832463</v>
      </c>
    </row>
    <row r="62" spans="1:17" ht="12.75" customHeight="1" thickBot="1">
      <c r="A62" s="64"/>
      <c r="B62" s="65"/>
      <c r="C62" s="119" t="s">
        <v>44</v>
      </c>
      <c r="D62" s="79">
        <f>SUM(E61:$Q61)/D59</f>
        <v>1499.9999999999982</v>
      </c>
      <c r="E62" s="79">
        <f>SUM(F61:$Q61)/E59</f>
        <v>1499.9999999999982</v>
      </c>
      <c r="F62" s="79">
        <f>SUM(G61:$Q61)/F59</f>
        <v>1499.9999999999982</v>
      </c>
      <c r="G62" s="95">
        <f>SUM(H61:$Q61)/G59</f>
        <v>1499.9999999999982</v>
      </c>
      <c r="H62" s="79">
        <f>SUM(I61:$Q61)/H59</f>
        <v>1529.9999999999984</v>
      </c>
      <c r="I62" s="79">
        <f>SUM(J61:$Q61)/I59</f>
        <v>1560.5999999999983</v>
      </c>
      <c r="J62" s="79">
        <f>SUM(K61:$Q61)/J59</f>
        <v>1591.811999999998</v>
      </c>
      <c r="K62" s="79">
        <f>SUM(L61:$Q61)/K59</f>
        <v>1623.6482399999982</v>
      </c>
      <c r="L62" s="79">
        <f>SUM(M61:$Q61)/L59</f>
        <v>1656.1212047999982</v>
      </c>
      <c r="M62" s="95">
        <f>SUM(N61:$Q61)/M59</f>
        <v>1689.2436288959984</v>
      </c>
      <c r="N62" s="79">
        <f>SUM(O61:$Q61)/N59</f>
        <v>1723.0285014739184</v>
      </c>
      <c r="O62" s="79">
        <f>SUM(P61:$Q61)/O59</f>
        <v>1757.4890715033969</v>
      </c>
      <c r="P62" s="79">
        <f>SUM(Q61:$Q61)/P59</f>
        <v>1792.638852933465</v>
      </c>
      <c r="Q62" s="67"/>
    </row>
    <row r="63" spans="1:17" ht="12" customHeight="1">
      <c r="A63" s="16"/>
      <c r="C63" s="7" t="s">
        <v>4</v>
      </c>
      <c r="D63" s="51">
        <f>$D$4</f>
        <v>0.08</v>
      </c>
      <c r="E63" s="139">
        <f aca="true" t="shared" si="43" ref="E63:Q63">D63</f>
        <v>0.08</v>
      </c>
      <c r="F63" s="139">
        <f t="shared" si="43"/>
        <v>0.08</v>
      </c>
      <c r="G63" s="140">
        <f t="shared" si="43"/>
        <v>0.08</v>
      </c>
      <c r="H63" s="139">
        <f t="shared" si="43"/>
        <v>0.08</v>
      </c>
      <c r="I63" s="139">
        <f t="shared" si="43"/>
        <v>0.08</v>
      </c>
      <c r="J63" s="139">
        <f t="shared" si="43"/>
        <v>0.08</v>
      </c>
      <c r="K63" s="139">
        <f t="shared" si="43"/>
        <v>0.08</v>
      </c>
      <c r="L63" s="139">
        <f t="shared" si="43"/>
        <v>0.08</v>
      </c>
      <c r="M63" s="140">
        <f t="shared" si="43"/>
        <v>0.08</v>
      </c>
      <c r="N63" s="139">
        <f t="shared" si="43"/>
        <v>0.08</v>
      </c>
      <c r="O63" s="139">
        <f t="shared" si="43"/>
        <v>0.08</v>
      </c>
      <c r="P63" s="139">
        <f t="shared" si="43"/>
        <v>0.08</v>
      </c>
      <c r="Q63" s="139">
        <f t="shared" si="43"/>
        <v>0.08</v>
      </c>
    </row>
    <row r="64" spans="1:41" s="107" customFormat="1" ht="12" customHeight="1">
      <c r="A64" s="16"/>
      <c r="C64" s="107" t="s">
        <v>5</v>
      </c>
      <c r="D64" s="51">
        <f>$D$5</f>
        <v>0.08</v>
      </c>
      <c r="E64" s="51">
        <f aca="true" t="shared" si="44" ref="E64:Q64">D64</f>
        <v>0.08</v>
      </c>
      <c r="F64" s="51">
        <f t="shared" si="44"/>
        <v>0.08</v>
      </c>
      <c r="G64" s="50">
        <f t="shared" si="44"/>
        <v>0.08</v>
      </c>
      <c r="H64" s="51">
        <f t="shared" si="44"/>
        <v>0.08</v>
      </c>
      <c r="I64" s="51">
        <f t="shared" si="44"/>
        <v>0.08</v>
      </c>
      <c r="J64" s="51">
        <f t="shared" si="44"/>
        <v>0.08</v>
      </c>
      <c r="K64" s="51">
        <f t="shared" si="44"/>
        <v>0.08</v>
      </c>
      <c r="L64" s="51">
        <f t="shared" si="44"/>
        <v>0.08</v>
      </c>
      <c r="M64" s="50">
        <f t="shared" si="44"/>
        <v>0.08</v>
      </c>
      <c r="N64" s="51">
        <f t="shared" si="44"/>
        <v>0.08</v>
      </c>
      <c r="O64" s="51">
        <f t="shared" si="44"/>
        <v>0.08</v>
      </c>
      <c r="P64" s="51">
        <f t="shared" si="44"/>
        <v>0.08</v>
      </c>
      <c r="Q64" s="51">
        <f t="shared" si="44"/>
        <v>0.08</v>
      </c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</row>
    <row r="65" spans="1:41" s="42" customFormat="1" ht="12" customHeight="1">
      <c r="A65" s="45"/>
      <c r="C65" s="42" t="s">
        <v>45</v>
      </c>
      <c r="D65" s="81">
        <f aca="true" t="shared" si="45" ref="D65:Q65">(D64-D49)/D50</f>
        <v>0.5000000000000001</v>
      </c>
      <c r="E65" s="81">
        <f t="shared" si="45"/>
        <v>0.5000000000000001</v>
      </c>
      <c r="F65" s="81">
        <f t="shared" si="45"/>
        <v>0.5000000000000001</v>
      </c>
      <c r="G65" s="144">
        <f t="shared" si="45"/>
        <v>0.5000000000000001</v>
      </c>
      <c r="H65" s="81">
        <f t="shared" si="45"/>
        <v>0.5000000000000001</v>
      </c>
      <c r="I65" s="81">
        <f t="shared" si="45"/>
        <v>0.5000000000000001</v>
      </c>
      <c r="J65" s="82">
        <f t="shared" si="45"/>
        <v>0.5000000000000001</v>
      </c>
      <c r="K65" s="82">
        <f t="shared" si="45"/>
        <v>0.5000000000000001</v>
      </c>
      <c r="L65" s="82">
        <f t="shared" si="45"/>
        <v>0.5000000000000001</v>
      </c>
      <c r="M65" s="83">
        <f t="shared" si="45"/>
        <v>0.5000000000000001</v>
      </c>
      <c r="N65" s="82">
        <f t="shared" si="45"/>
        <v>0.5000000000000001</v>
      </c>
      <c r="O65" s="82">
        <f t="shared" si="45"/>
        <v>0.5000000000000001</v>
      </c>
      <c r="P65" s="82">
        <f t="shared" si="45"/>
        <v>0.5000000000000001</v>
      </c>
      <c r="Q65" s="84">
        <f t="shared" si="45"/>
        <v>0.5000000000000001</v>
      </c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</row>
    <row r="66" spans="1:17" ht="9.75" customHeight="1">
      <c r="A66" s="16"/>
      <c r="D66"/>
      <c r="E66" s="43"/>
      <c r="F66" s="43"/>
      <c r="G66" s="143"/>
      <c r="H66" s="43"/>
      <c r="I66" s="43"/>
      <c r="J66" s="2"/>
      <c r="K66" s="2"/>
      <c r="L66" s="2"/>
      <c r="M66" s="8"/>
      <c r="N66" s="2"/>
      <c r="O66" s="2"/>
      <c r="P66" s="2"/>
      <c r="Q66" s="2"/>
    </row>
    <row r="67" spans="1:17" ht="9.75" customHeight="1" hidden="1">
      <c r="A67" s="16"/>
      <c r="C67" s="21" t="s">
        <v>46</v>
      </c>
      <c r="D67" s="43"/>
      <c r="E67" s="43">
        <f aca="true" t="shared" si="46" ref="E67:P67">D62*D51*$H$3+$F$1*(D58*D63-D62*D64)</f>
        <v>52.499999999999986</v>
      </c>
      <c r="F67" s="43">
        <f t="shared" si="46"/>
        <v>52.499999999999986</v>
      </c>
      <c r="G67" s="143">
        <f t="shared" si="46"/>
        <v>52.499999999999986</v>
      </c>
      <c r="H67" s="43">
        <f t="shared" si="46"/>
        <v>52.499999999999986</v>
      </c>
      <c r="I67" s="43">
        <f t="shared" si="46"/>
        <v>53.54999999999999</v>
      </c>
      <c r="J67" s="43">
        <f t="shared" si="46"/>
        <v>54.62099999999999</v>
      </c>
      <c r="K67" s="43">
        <f t="shared" si="46"/>
        <v>55.71341999999999</v>
      </c>
      <c r="L67" s="43">
        <f t="shared" si="46"/>
        <v>56.82768839999999</v>
      </c>
      <c r="M67" s="43">
        <f t="shared" si="46"/>
        <v>57.96424216799999</v>
      </c>
      <c r="N67" s="43">
        <f t="shared" si="46"/>
        <v>59.12352701135999</v>
      </c>
      <c r="O67" s="43">
        <f t="shared" si="46"/>
        <v>60.30599755158719</v>
      </c>
      <c r="P67" s="43">
        <f t="shared" si="46"/>
        <v>61.51211750261894</v>
      </c>
      <c r="Q67" s="162">
        <f>P67*(1+O$5)+P67*(1+O$5)*(1+O$5)/(P51-O$5)</f>
        <v>862.7074479742307</v>
      </c>
    </row>
    <row r="68" spans="3:17" ht="9.75" customHeight="1" hidden="1">
      <c r="C68" s="21" t="s">
        <v>47</v>
      </c>
      <c r="E68" s="5">
        <f>E52*E67</f>
        <v>47.72727272727271</v>
      </c>
      <c r="F68" s="5">
        <f aca="true" t="shared" si="47" ref="F68:Q68">F52*F67</f>
        <v>43.3884297520661</v>
      </c>
      <c r="G68" s="93">
        <f t="shared" si="47"/>
        <v>39.44402704733282</v>
      </c>
      <c r="H68" s="5">
        <f t="shared" si="47"/>
        <v>35.85820640666619</v>
      </c>
      <c r="I68" s="5">
        <f t="shared" si="47"/>
        <v>33.25033684981774</v>
      </c>
      <c r="J68" s="5">
        <f t="shared" si="47"/>
        <v>30.832130533467353</v>
      </c>
      <c r="K68" s="5">
        <f t="shared" si="47"/>
        <v>28.589793767397</v>
      </c>
      <c r="L68" s="5">
        <f t="shared" si="47"/>
        <v>26.510536038859037</v>
      </c>
      <c r="M68" s="93">
        <f t="shared" si="47"/>
        <v>24.58249705421474</v>
      </c>
      <c r="N68" s="5">
        <f t="shared" si="47"/>
        <v>22.794679086635483</v>
      </c>
      <c r="O68" s="5">
        <f t="shared" si="47"/>
        <v>21.136884243971082</v>
      </c>
      <c r="P68" s="5">
        <f t="shared" si="47"/>
        <v>19.599656298955004</v>
      </c>
      <c r="Q68" s="5">
        <f t="shared" si="47"/>
        <v>249.8956178116763</v>
      </c>
    </row>
    <row r="69" spans="1:17" ht="9.75" customHeight="1">
      <c r="A69" s="16"/>
      <c r="C69" s="21" t="s">
        <v>102</v>
      </c>
      <c r="D69" s="70">
        <f>SUM(E68:$Q68)/D52</f>
        <v>623.6100676183315</v>
      </c>
      <c r="E69" s="70">
        <f>SUM(F68:$Q68)/E52</f>
        <v>633.4710743801646</v>
      </c>
      <c r="F69" s="70">
        <f>SUM(G68:$Q68)/F52</f>
        <v>644.3181818181813</v>
      </c>
      <c r="G69" s="29">
        <f>SUM(H68:$Q68)/G52</f>
        <v>656.2499999999994</v>
      </c>
      <c r="H69" s="70">
        <f>SUM(I68:$Q68)/H52</f>
        <v>669.3749999999995</v>
      </c>
      <c r="I69" s="70">
        <f>SUM(J68:$Q68)/I52</f>
        <v>682.7624999999996</v>
      </c>
      <c r="J69" s="70">
        <f>SUM(K68:$Q68)/J52</f>
        <v>696.4177499999997</v>
      </c>
      <c r="K69" s="70">
        <f>SUM(L68:$Q68)/K52</f>
        <v>710.3461049999996</v>
      </c>
      <c r="L69" s="70">
        <f>SUM(M68:$Q68)/L52</f>
        <v>724.5530270999997</v>
      </c>
      <c r="M69" s="29">
        <f>SUM(N68:$Q68)/M52</f>
        <v>739.0440876419997</v>
      </c>
      <c r="N69" s="70">
        <f>SUM(O68:$Q68)/N52</f>
        <v>753.8249693948397</v>
      </c>
      <c r="O69" s="70">
        <f>SUM(P68:$Q68)/O52</f>
        <v>768.9014687827366</v>
      </c>
      <c r="P69" s="70">
        <f>SUM(Q68:$Q68)/P52</f>
        <v>784.2794981583916</v>
      </c>
      <c r="Q69" s="70">
        <f>SUM($Q68:R68)/Q52</f>
        <v>862.7074479742307</v>
      </c>
    </row>
    <row r="70" spans="1:17" ht="12" customHeight="1">
      <c r="A70" s="16"/>
      <c r="C70" s="21" t="s">
        <v>103</v>
      </c>
      <c r="D70" s="1">
        <f aca="true" t="shared" si="48" ref="D70:P70">D69+D55</f>
        <v>5458.963185574749</v>
      </c>
      <c r="E70" s="1">
        <f t="shared" si="48"/>
        <v>5709.359504132223</v>
      </c>
      <c r="F70" s="1">
        <f t="shared" si="48"/>
        <v>6120.795454545447</v>
      </c>
      <c r="G70" s="29">
        <f t="shared" si="48"/>
        <v>6264.374999999992</v>
      </c>
      <c r="H70" s="1">
        <f t="shared" si="48"/>
        <v>6389.662499999991</v>
      </c>
      <c r="I70" s="1">
        <f t="shared" si="48"/>
        <v>6517.455749999993</v>
      </c>
      <c r="J70" s="1">
        <f t="shared" si="48"/>
        <v>6647.804864999992</v>
      </c>
      <c r="K70" s="1">
        <f t="shared" si="48"/>
        <v>6780.760962299992</v>
      </c>
      <c r="L70" s="1">
        <f t="shared" si="48"/>
        <v>6916.376181545992</v>
      </c>
      <c r="M70" s="29">
        <f t="shared" si="48"/>
        <v>7054.703705176911</v>
      </c>
      <c r="N70" s="1">
        <f t="shared" si="48"/>
        <v>7195.797779280451</v>
      </c>
      <c r="O70" s="1">
        <f t="shared" si="48"/>
        <v>7339.713734866059</v>
      </c>
      <c r="P70" s="1">
        <f t="shared" si="48"/>
        <v>7486.508009563382</v>
      </c>
      <c r="Q70" s="1"/>
    </row>
    <row r="71" spans="1:41" s="65" customFormat="1" ht="12" customHeight="1" thickBot="1">
      <c r="A71" s="64"/>
      <c r="B71" s="65" t="s">
        <v>48</v>
      </c>
      <c r="C71" s="77" t="s">
        <v>49</v>
      </c>
      <c r="D71" s="112">
        <f aca="true" t="shared" si="49" ref="D71:P71">D70-D62</f>
        <v>3958.963185574751</v>
      </c>
      <c r="E71" s="79">
        <f t="shared" si="49"/>
        <v>4209.359504132225</v>
      </c>
      <c r="F71" s="79">
        <f t="shared" si="49"/>
        <v>4620.795454545449</v>
      </c>
      <c r="G71" s="95">
        <f t="shared" si="49"/>
        <v>4764.374999999994</v>
      </c>
      <c r="H71" s="79">
        <f t="shared" si="49"/>
        <v>4859.662499999993</v>
      </c>
      <c r="I71" s="79">
        <f t="shared" si="49"/>
        <v>4956.855749999994</v>
      </c>
      <c r="J71" s="79">
        <f t="shared" si="49"/>
        <v>5055.992864999994</v>
      </c>
      <c r="K71" s="79">
        <f t="shared" si="49"/>
        <v>5157.112722299993</v>
      </c>
      <c r="L71" s="79">
        <f t="shared" si="49"/>
        <v>5260.254976745994</v>
      </c>
      <c r="M71" s="95">
        <f t="shared" si="49"/>
        <v>5365.460076280913</v>
      </c>
      <c r="N71" s="79">
        <f t="shared" si="49"/>
        <v>5472.769277806533</v>
      </c>
      <c r="O71" s="79">
        <f t="shared" si="49"/>
        <v>5582.224663362662</v>
      </c>
      <c r="P71" s="79">
        <f t="shared" si="49"/>
        <v>5693.869156629917</v>
      </c>
      <c r="Q71" s="7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</row>
    <row r="72" spans="1:17" ht="10.5" hidden="1">
      <c r="A72" s="16"/>
      <c r="C72" s="6" t="s">
        <v>50</v>
      </c>
      <c r="D72" s="6"/>
      <c r="E72" s="44">
        <f aca="true" t="shared" si="50" ref="E72:Q72">E71/D71-1</f>
        <v>0.06324795326964439</v>
      </c>
      <c r="F72" s="44">
        <f t="shared" si="50"/>
        <v>0.09774312457971979</v>
      </c>
      <c r="G72" s="30">
        <f t="shared" si="50"/>
        <v>0.03107247374763289</v>
      </c>
      <c r="H72" s="44">
        <f t="shared" si="50"/>
        <v>0.020000000000000018</v>
      </c>
      <c r="I72" s="44">
        <f t="shared" si="50"/>
        <v>0.02000000000000024</v>
      </c>
      <c r="J72" s="44">
        <f t="shared" si="50"/>
        <v>0.020000000000000018</v>
      </c>
      <c r="K72" s="44">
        <f t="shared" si="50"/>
        <v>0.019999999999999796</v>
      </c>
      <c r="L72" s="44">
        <f t="shared" si="50"/>
        <v>0.02000000000000024</v>
      </c>
      <c r="M72" s="30">
        <f t="shared" si="50"/>
        <v>0.019999999999999796</v>
      </c>
      <c r="N72" s="44">
        <f t="shared" si="50"/>
        <v>0.02000000000000024</v>
      </c>
      <c r="O72" s="44">
        <f t="shared" si="50"/>
        <v>0.019999999999999574</v>
      </c>
      <c r="P72" s="44">
        <f t="shared" si="50"/>
        <v>0.02000000000000024</v>
      </c>
      <c r="Q72" s="44">
        <f t="shared" si="50"/>
        <v>-1</v>
      </c>
    </row>
    <row r="73" spans="1:17" ht="9" customHeight="1">
      <c r="A73" s="16"/>
      <c r="C73" s="6"/>
      <c r="D73" s="6"/>
      <c r="E73" s="6"/>
      <c r="F73" s="6"/>
      <c r="G73" s="145"/>
      <c r="H73" s="6"/>
      <c r="I73" s="6"/>
      <c r="J73" s="6"/>
      <c r="K73" s="6"/>
      <c r="L73" s="6"/>
      <c r="M73" s="30"/>
      <c r="N73" s="6"/>
      <c r="O73" s="6"/>
      <c r="P73" s="6"/>
      <c r="Q73" s="44"/>
    </row>
    <row r="74" spans="1:17" ht="12.75" customHeight="1">
      <c r="A74" s="16"/>
      <c r="C74" s="4" t="s">
        <v>51</v>
      </c>
      <c r="D74" s="12">
        <f aca="true" t="shared" si="51" ref="D74:P74">D48*(D62*(1-$F1)+D80)/D80-D65*D62*(1-$F1)/D80</f>
        <v>1.123138300900675</v>
      </c>
      <c r="E74" s="12">
        <f t="shared" si="51"/>
        <v>1.1158133439354447</v>
      </c>
      <c r="F74" s="12">
        <f t="shared" si="51"/>
        <v>1.1055013156923983</v>
      </c>
      <c r="G74" s="98">
        <f t="shared" si="51"/>
        <v>1.1023219205037385</v>
      </c>
      <c r="H74" s="12">
        <f t="shared" si="51"/>
        <v>1.1023219205037385</v>
      </c>
      <c r="I74" s="12">
        <f t="shared" si="51"/>
        <v>1.1023219205037385</v>
      </c>
      <c r="J74" s="12">
        <f t="shared" si="51"/>
        <v>1.1023219205037385</v>
      </c>
      <c r="K74" s="12">
        <f t="shared" si="51"/>
        <v>1.1023219205037385</v>
      </c>
      <c r="L74" s="12">
        <f t="shared" si="51"/>
        <v>1.1023219205037385</v>
      </c>
      <c r="M74" s="98">
        <f t="shared" si="51"/>
        <v>1.1023219205037385</v>
      </c>
      <c r="N74" s="12">
        <f t="shared" si="51"/>
        <v>1.1023219205037385</v>
      </c>
      <c r="O74" s="12">
        <f t="shared" si="51"/>
        <v>1.1023219205037385</v>
      </c>
      <c r="P74" s="12">
        <f t="shared" si="51"/>
        <v>1.1023219205037385</v>
      </c>
      <c r="Q74" s="12"/>
    </row>
    <row r="75" spans="1:41" s="7" customFormat="1" ht="13.5" customHeight="1">
      <c r="A75" s="16"/>
      <c r="C75" s="7" t="s">
        <v>52</v>
      </c>
      <c r="D75" s="51">
        <f>D49+D50*D74</f>
        <v>0.104925532036027</v>
      </c>
      <c r="E75" s="51">
        <f>E49+E50*E74</f>
        <v>0.1046325337574178</v>
      </c>
      <c r="F75" s="51">
        <f aca="true" t="shared" si="52" ref="F75:P75">F49+F50*F74</f>
        <v>0.10422005262769593</v>
      </c>
      <c r="G75" s="50">
        <f t="shared" si="52"/>
        <v>0.10409287682014953</v>
      </c>
      <c r="H75" s="51">
        <f t="shared" si="52"/>
        <v>0.10409287682014953</v>
      </c>
      <c r="I75" s="51">
        <f t="shared" si="52"/>
        <v>0.10409287682014953</v>
      </c>
      <c r="J75" s="51">
        <f t="shared" si="52"/>
        <v>0.10409287682014953</v>
      </c>
      <c r="K75" s="51">
        <f t="shared" si="52"/>
        <v>0.10409287682014953</v>
      </c>
      <c r="L75" s="51">
        <f t="shared" si="52"/>
        <v>0.10409287682014953</v>
      </c>
      <c r="M75" s="50">
        <f t="shared" si="52"/>
        <v>0.10409287682014953</v>
      </c>
      <c r="N75" s="51">
        <f t="shared" si="52"/>
        <v>0.10409287682014953</v>
      </c>
      <c r="O75" s="51">
        <f t="shared" si="52"/>
        <v>0.10409287682014953</v>
      </c>
      <c r="P75" s="51">
        <f t="shared" si="52"/>
        <v>0.10409287682014953</v>
      </c>
      <c r="Q75" s="51">
        <f>P75</f>
        <v>0.10409287682014953</v>
      </c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</row>
    <row r="76" spans="1:17" ht="13.5" customHeight="1" hidden="1">
      <c r="A76" s="16"/>
      <c r="C76" s="21" t="s">
        <v>53</v>
      </c>
      <c r="D76" s="12">
        <v>1</v>
      </c>
      <c r="E76" s="12">
        <f>1/(1+D75)</f>
        <v>0.9050383677507365</v>
      </c>
      <c r="F76" s="46">
        <f aca="true" t="shared" si="53" ref="F76:Q76">E76/(1+E75)</f>
        <v>0.8193117078239948</v>
      </c>
      <c r="G76" s="96">
        <f t="shared" si="53"/>
        <v>0.7419822759732455</v>
      </c>
      <c r="H76" s="46">
        <f t="shared" si="53"/>
        <v>0.6720288587588725</v>
      </c>
      <c r="I76" s="46">
        <f t="shared" si="53"/>
        <v>0.6086705863861327</v>
      </c>
      <c r="J76" s="46">
        <f t="shared" si="53"/>
        <v>0.5512856745703666</v>
      </c>
      <c r="K76" s="46">
        <f t="shared" si="53"/>
        <v>0.499310960286331</v>
      </c>
      <c r="L76" s="46">
        <f t="shared" si="53"/>
        <v>0.452236375008935</v>
      </c>
      <c r="M76" s="96">
        <f t="shared" si="53"/>
        <v>0.4095999390118353</v>
      </c>
      <c r="N76" s="46">
        <f t="shared" si="53"/>
        <v>0.3709832275990282</v>
      </c>
      <c r="O76" s="46">
        <f t="shared" si="53"/>
        <v>0.33600726477602233</v>
      </c>
      <c r="P76" s="46">
        <f t="shared" si="53"/>
        <v>0.3043288040619757</v>
      </c>
      <c r="Q76" s="46">
        <f t="shared" si="53"/>
        <v>0.27563695994349685</v>
      </c>
    </row>
    <row r="77" spans="1:17" ht="13.5" customHeight="1" hidden="1">
      <c r="A77" s="16"/>
      <c r="B77" s="42"/>
      <c r="C77" s="42" t="s">
        <v>122</v>
      </c>
      <c r="D77" s="42"/>
      <c r="E77" s="23">
        <f>E$40</f>
        <v>165</v>
      </c>
      <c r="F77" s="23">
        <f aca="true" t="shared" si="54" ref="F77:P77">F$40</f>
        <v>29</v>
      </c>
      <c r="G77" s="23">
        <f t="shared" si="54"/>
        <v>338</v>
      </c>
      <c r="H77" s="23">
        <f t="shared" si="54"/>
        <v>400.6500000000001</v>
      </c>
      <c r="I77" s="23">
        <f t="shared" si="54"/>
        <v>408.663</v>
      </c>
      <c r="J77" s="23">
        <f t="shared" si="54"/>
        <v>416.83626000000015</v>
      </c>
      <c r="K77" s="23">
        <f t="shared" si="54"/>
        <v>425.17298519999997</v>
      </c>
      <c r="L77" s="23">
        <f t="shared" si="54"/>
        <v>433.6764449039996</v>
      </c>
      <c r="M77" s="23">
        <f t="shared" si="54"/>
        <v>442.3499738020803</v>
      </c>
      <c r="N77" s="23">
        <f t="shared" si="54"/>
        <v>451.19697327812173</v>
      </c>
      <c r="O77" s="23">
        <f t="shared" si="54"/>
        <v>460.2209127436847</v>
      </c>
      <c r="P77" s="23">
        <f t="shared" si="54"/>
        <v>469.42533099855723</v>
      </c>
      <c r="Q77" s="1">
        <f>P77*(1+O$5)+P77*(1+O$5)*(1+O$5)/(P75-O$5)</f>
        <v>6286.560377381045</v>
      </c>
    </row>
    <row r="78" spans="1:41" s="134" customFormat="1" ht="13.5" customHeight="1" hidden="1">
      <c r="A78" s="133"/>
      <c r="C78" s="135" t="s">
        <v>54</v>
      </c>
      <c r="D78" s="136"/>
      <c r="E78" s="136">
        <f>E77*E76</f>
        <v>149.33133067887152</v>
      </c>
      <c r="F78" s="136">
        <f>F77*F76</f>
        <v>23.76003952689585</v>
      </c>
      <c r="G78" s="137">
        <f aca="true" t="shared" si="55" ref="G78:Q78">G77*G76</f>
        <v>250.79000927895697</v>
      </c>
      <c r="H78" s="136">
        <f t="shared" si="55"/>
        <v>269.24836226174233</v>
      </c>
      <c r="I78" s="136">
        <f t="shared" si="55"/>
        <v>248.74114784431615</v>
      </c>
      <c r="J78" s="136">
        <f t="shared" si="55"/>
        <v>229.7958587794888</v>
      </c>
      <c r="K78" s="136">
        <f t="shared" si="55"/>
        <v>212.29353152801798</v>
      </c>
      <c r="L78" s="136">
        <f t="shared" si="55"/>
        <v>196.1242633701469</v>
      </c>
      <c r="M78" s="137">
        <f t="shared" si="55"/>
        <v>181.186522291219</v>
      </c>
      <c r="N78" s="136">
        <f t="shared" si="55"/>
        <v>167.38650942963008</v>
      </c>
      <c r="O78" s="136">
        <f t="shared" si="55"/>
        <v>154.63757008372994</v>
      </c>
      <c r="P78" s="136">
        <f t="shared" si="55"/>
        <v>142.85964957918802</v>
      </c>
      <c r="Q78" s="136">
        <f t="shared" si="55"/>
        <v>1732.8083909225536</v>
      </c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</row>
    <row r="79" spans="1:41" s="65" customFormat="1" ht="13.5" customHeight="1" thickBot="1">
      <c r="A79" s="64"/>
      <c r="C79" s="66" t="s">
        <v>55</v>
      </c>
      <c r="D79" s="79">
        <f>SUM(E78:$Q78)/D76</f>
        <v>3958.9631855747575</v>
      </c>
      <c r="E79" s="79">
        <f>SUM(F78:$Q78)/E76</f>
        <v>4209.359504132233</v>
      </c>
      <c r="F79" s="79">
        <f>SUM(G78:$Q78)/F76</f>
        <v>4620.795454545456</v>
      </c>
      <c r="G79" s="95">
        <f>SUM(H78:$Q78)/G76</f>
        <v>4764.375000000002</v>
      </c>
      <c r="H79" s="79">
        <f>SUM(I78:$Q78)/H76</f>
        <v>4859.662500000001</v>
      </c>
      <c r="I79" s="79">
        <f>SUM(J78:$Q78)/I76</f>
        <v>4956.8557500000015</v>
      </c>
      <c r="J79" s="79">
        <f>SUM(K78:$Q78)/J76</f>
        <v>5055.992865</v>
      </c>
      <c r="K79" s="79">
        <f>SUM(L78:$Q78)/K76</f>
        <v>5157.1127223</v>
      </c>
      <c r="L79" s="79">
        <f>SUM(M78:$Q78)/L76</f>
        <v>5260.2549767460005</v>
      </c>
      <c r="M79" s="95">
        <f>SUM(N78:$Q78)/M76</f>
        <v>5365.46007628092</v>
      </c>
      <c r="N79" s="79">
        <f>SUM(O78:$Q78)/N76</f>
        <v>5472.769277806537</v>
      </c>
      <c r="O79" s="79">
        <f>SUM(P78:$Q78)/O76</f>
        <v>5582.224663362666</v>
      </c>
      <c r="P79" s="79">
        <f>SUM(Q78:$Q78)/P76</f>
        <v>5693.869156629919</v>
      </c>
      <c r="Q79" s="7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</row>
    <row r="80" spans="1:17" ht="12" customHeight="1">
      <c r="A80" s="16"/>
      <c r="C80" s="89" t="s">
        <v>56</v>
      </c>
      <c r="D80" s="68">
        <f>D79</f>
        <v>3958.9631855747575</v>
      </c>
      <c r="E80" s="68">
        <f aca="true" t="shared" si="56" ref="E80:P80">D80*(1+D75)-E77</f>
        <v>4209.359504132233</v>
      </c>
      <c r="F80" s="68">
        <f t="shared" si="56"/>
        <v>4620.795454545457</v>
      </c>
      <c r="G80" s="100">
        <f t="shared" si="56"/>
        <v>4764.375000000003</v>
      </c>
      <c r="H80" s="68">
        <f t="shared" si="56"/>
        <v>4859.662500000002</v>
      </c>
      <c r="I80" s="68">
        <f t="shared" si="56"/>
        <v>4956.855750000002</v>
      </c>
      <c r="J80" s="68">
        <f t="shared" si="56"/>
        <v>5055.992865000002</v>
      </c>
      <c r="K80" s="68">
        <f t="shared" si="56"/>
        <v>5157.112722300002</v>
      </c>
      <c r="L80" s="68">
        <f t="shared" si="56"/>
        <v>5260.254976746002</v>
      </c>
      <c r="M80" s="100">
        <f t="shared" si="56"/>
        <v>5365.460076280922</v>
      </c>
      <c r="N80" s="68">
        <f t="shared" si="56"/>
        <v>5472.76927780654</v>
      </c>
      <c r="O80" s="68">
        <f t="shared" si="56"/>
        <v>5582.22466336267</v>
      </c>
      <c r="P80" s="68">
        <f t="shared" si="56"/>
        <v>5693.869156629924</v>
      </c>
      <c r="Q80" s="68"/>
    </row>
    <row r="81" spans="1:13" ht="9" customHeight="1">
      <c r="A81" s="16"/>
      <c r="D81" s="41"/>
      <c r="E81" s="5"/>
      <c r="M81" s="31"/>
    </row>
    <row r="82" spans="1:41" s="7" customFormat="1" ht="12" customHeight="1">
      <c r="A82" s="16"/>
      <c r="C82" s="7" t="s">
        <v>57</v>
      </c>
      <c r="D82" s="49">
        <f aca="true" t="shared" si="57" ref="D82:P82">(D80*D75+D62*D64-D58*D63*$F1)/(D80+D62)</f>
        <v>0.09038278914598095</v>
      </c>
      <c r="E82" s="49">
        <f t="shared" si="57"/>
        <v>0.09080457274375482</v>
      </c>
      <c r="F82" s="49">
        <f t="shared" si="57"/>
        <v>0.09142268347474147</v>
      </c>
      <c r="G82" s="132">
        <f t="shared" si="57"/>
        <v>0.09161927566596828</v>
      </c>
      <c r="H82" s="49">
        <f t="shared" si="57"/>
        <v>0.09161927566596827</v>
      </c>
      <c r="I82" s="49">
        <f t="shared" si="57"/>
        <v>0.09161927566596825</v>
      </c>
      <c r="J82" s="49">
        <f t="shared" si="57"/>
        <v>0.09161927566596825</v>
      </c>
      <c r="K82" s="49">
        <f t="shared" si="57"/>
        <v>0.09161927566596827</v>
      </c>
      <c r="L82" s="49">
        <f t="shared" si="57"/>
        <v>0.09161927566596825</v>
      </c>
      <c r="M82" s="49">
        <f t="shared" si="57"/>
        <v>0.09161927566596827</v>
      </c>
      <c r="N82" s="49">
        <f t="shared" si="57"/>
        <v>0.09161927566596827</v>
      </c>
      <c r="O82" s="49">
        <f t="shared" si="57"/>
        <v>0.09161927566596827</v>
      </c>
      <c r="P82" s="49">
        <f t="shared" si="57"/>
        <v>0.09161927566596825</v>
      </c>
      <c r="Q82" s="49">
        <f>P82</f>
        <v>0.09161927566596825</v>
      </c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</row>
    <row r="83" spans="1:17" ht="12" customHeight="1" hidden="1">
      <c r="A83" s="16"/>
      <c r="C83" s="21" t="s">
        <v>58</v>
      </c>
      <c r="D83" s="12">
        <v>1</v>
      </c>
      <c r="E83" s="12">
        <f>1/(1+D82)</f>
        <v>0.917109119801156</v>
      </c>
      <c r="F83" s="12">
        <f aca="true" t="shared" si="58" ref="F83:Q83">E83/(1+E82)</f>
        <v>0.8407639119941586</v>
      </c>
      <c r="G83" s="98">
        <f t="shared" si="58"/>
        <v>0.7703375829769588</v>
      </c>
      <c r="H83" s="12">
        <f t="shared" si="58"/>
        <v>0.7056833826124919</v>
      </c>
      <c r="I83" s="12">
        <f t="shared" si="58"/>
        <v>0.6464555897311112</v>
      </c>
      <c r="J83" s="12">
        <f t="shared" si="58"/>
        <v>0.5921987675938808</v>
      </c>
      <c r="K83" s="12">
        <f t="shared" si="58"/>
        <v>0.5424957041296251</v>
      </c>
      <c r="L83" s="12">
        <f t="shared" si="58"/>
        <v>0.4969642037501241</v>
      </c>
      <c r="M83" s="98">
        <f t="shared" si="58"/>
        <v>0.4552541484272888</v>
      </c>
      <c r="N83" s="12">
        <f t="shared" si="58"/>
        <v>0.41704480543324063</v>
      </c>
      <c r="O83" s="12">
        <f t="shared" si="58"/>
        <v>0.3820423610409523</v>
      </c>
      <c r="P83" s="12">
        <f t="shared" si="58"/>
        <v>0.349977661220647</v>
      </c>
      <c r="Q83" s="12">
        <f t="shared" si="58"/>
        <v>0.32060414195886644</v>
      </c>
    </row>
    <row r="84" spans="1:17" ht="12" customHeight="1" hidden="1">
      <c r="A84" s="45"/>
      <c r="B84" s="42"/>
      <c r="C84" s="42" t="s">
        <v>31</v>
      </c>
      <c r="D84" s="42"/>
      <c r="E84" s="42">
        <f aca="true" t="shared" si="59" ref="E84:P84">E41</f>
        <v>243</v>
      </c>
      <c r="F84" s="42">
        <f t="shared" si="59"/>
        <v>107</v>
      </c>
      <c r="G84" s="99">
        <f t="shared" si="59"/>
        <v>416</v>
      </c>
      <c r="H84" s="42">
        <f t="shared" si="59"/>
        <v>448.6500000000001</v>
      </c>
      <c r="I84" s="42">
        <f t="shared" si="59"/>
        <v>457.6229999999999</v>
      </c>
      <c r="J84" s="42">
        <f t="shared" si="59"/>
        <v>466.7754600000002</v>
      </c>
      <c r="K84" s="42">
        <f t="shared" si="59"/>
        <v>476.1109691999999</v>
      </c>
      <c r="L84" s="42">
        <f t="shared" si="59"/>
        <v>485.63318858399964</v>
      </c>
      <c r="M84" s="99">
        <f t="shared" si="59"/>
        <v>495.3458523556802</v>
      </c>
      <c r="N84" s="42">
        <f t="shared" si="59"/>
        <v>505.2527694027938</v>
      </c>
      <c r="O84" s="42">
        <f t="shared" si="59"/>
        <v>515.35782479085</v>
      </c>
      <c r="P84" s="42">
        <f t="shared" si="59"/>
        <v>525.6649812866659</v>
      </c>
      <c r="Q84" s="1">
        <f>P84*(1+O$5)+P84*(1+O$5)*(1+O$5)/(P82-O$5)</f>
        <v>8172.416450667051</v>
      </c>
    </row>
    <row r="85" spans="1:17" ht="12" customHeight="1" hidden="1">
      <c r="A85" s="16"/>
      <c r="C85" s="21" t="s">
        <v>38</v>
      </c>
      <c r="D85" s="1"/>
      <c r="E85" s="1">
        <f aca="true" t="shared" si="60" ref="E85:Q85">E84*E83</f>
        <v>222.8575161116809</v>
      </c>
      <c r="F85" s="1">
        <f t="shared" si="60"/>
        <v>89.96173858337497</v>
      </c>
      <c r="G85" s="29">
        <f t="shared" si="60"/>
        <v>320.46043451841484</v>
      </c>
      <c r="H85" s="1">
        <f t="shared" si="60"/>
        <v>316.6048496090945</v>
      </c>
      <c r="I85" s="1">
        <f t="shared" si="60"/>
        <v>295.8329463395202</v>
      </c>
      <c r="J85" s="1">
        <f t="shared" si="60"/>
        <v>276.4238521550669</v>
      </c>
      <c r="K85" s="1">
        <f t="shared" si="60"/>
        <v>258.2881554799922</v>
      </c>
      <c r="L85" s="1">
        <f t="shared" si="60"/>
        <v>241.34231087928126</v>
      </c>
      <c r="M85" s="29">
        <f t="shared" si="60"/>
        <v>225.50825419117473</v>
      </c>
      <c r="N85" s="1">
        <f t="shared" si="60"/>
        <v>210.71304291019413</v>
      </c>
      <c r="O85" s="1">
        <f t="shared" si="60"/>
        <v>196.88852016402575</v>
      </c>
      <c r="P85" s="1">
        <f t="shared" si="60"/>
        <v>183.9710007363025</v>
      </c>
      <c r="Q85" s="1">
        <f t="shared" si="60"/>
        <v>2620.1105638966346</v>
      </c>
    </row>
    <row r="86" spans="1:17" ht="12" customHeight="1">
      <c r="A86" s="16"/>
      <c r="B86" s="4" t="s">
        <v>59</v>
      </c>
      <c r="C86" s="42" t="s">
        <v>60</v>
      </c>
      <c r="D86" s="18">
        <f>SUM(E85:$Q85)/D83</f>
        <v>5458.9631855747575</v>
      </c>
      <c r="E86" s="18">
        <f>SUM(F85:$Q85)/E83</f>
        <v>5709.359504132233</v>
      </c>
      <c r="F86" s="18">
        <f>SUM(G85:$Q85)/F83</f>
        <v>6120.795454545456</v>
      </c>
      <c r="G86" s="91">
        <f>SUM(H85:$Q85)/G83</f>
        <v>6264.375000000002</v>
      </c>
      <c r="H86" s="18">
        <f>SUM(I85:$Q85)/H83</f>
        <v>6389.662500000001</v>
      </c>
      <c r="I86" s="18">
        <f>SUM(J85:$Q85)/I83</f>
        <v>6517.455750000001</v>
      </c>
      <c r="J86" s="18">
        <f>SUM(K85:$Q85)/J83</f>
        <v>6647.804865</v>
      </c>
      <c r="K86" s="18">
        <f>SUM(L85:$Q85)/K83</f>
        <v>6780.760962300001</v>
      </c>
      <c r="L86" s="18">
        <f>SUM(M85:$Q85)/L83</f>
        <v>6916.376181545999</v>
      </c>
      <c r="M86" s="91">
        <f>SUM(N85:$Q85)/M83</f>
        <v>7054.703705176918</v>
      </c>
      <c r="N86" s="18">
        <f>SUM(O85:$Q85)/N83</f>
        <v>7195.797779280457</v>
      </c>
      <c r="O86" s="18">
        <f>SUM(P85:$Q85)/O83</f>
        <v>7339.7137348660635</v>
      </c>
      <c r="P86" s="18">
        <f>SUM(Q85:$Q85)/P83</f>
        <v>7486.508009563385</v>
      </c>
      <c r="Q86" s="18"/>
    </row>
    <row r="87" spans="1:41" s="65" customFormat="1" ht="12.75" customHeight="1" thickBot="1">
      <c r="A87" s="64"/>
      <c r="B87" s="65" t="s">
        <v>48</v>
      </c>
      <c r="C87" s="77" t="s">
        <v>61</v>
      </c>
      <c r="D87" s="79">
        <f aca="true" t="shared" si="61" ref="D87:P87">D86-D62</f>
        <v>3958.9631855747593</v>
      </c>
      <c r="E87" s="79">
        <f t="shared" si="61"/>
        <v>4209.359504132235</v>
      </c>
      <c r="F87" s="79">
        <f t="shared" si="61"/>
        <v>4620.795454545458</v>
      </c>
      <c r="G87" s="95">
        <f t="shared" si="61"/>
        <v>4764.375000000004</v>
      </c>
      <c r="H87" s="79">
        <f t="shared" si="61"/>
        <v>4859.662500000003</v>
      </c>
      <c r="I87" s="79">
        <f t="shared" si="61"/>
        <v>4956.855750000002</v>
      </c>
      <c r="J87" s="79">
        <f t="shared" si="61"/>
        <v>5055.992865000002</v>
      </c>
      <c r="K87" s="79">
        <f t="shared" si="61"/>
        <v>5157.112722300002</v>
      </c>
      <c r="L87" s="79">
        <f t="shared" si="61"/>
        <v>5260.254976746001</v>
      </c>
      <c r="M87" s="95">
        <f t="shared" si="61"/>
        <v>5365.4600762809205</v>
      </c>
      <c r="N87" s="79">
        <f t="shared" si="61"/>
        <v>5472.769277806538</v>
      </c>
      <c r="O87" s="79">
        <f t="shared" si="61"/>
        <v>5582.224663362666</v>
      </c>
      <c r="P87" s="79">
        <f t="shared" si="61"/>
        <v>5693.86915662992</v>
      </c>
      <c r="Q87" s="108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</row>
    <row r="88" spans="1:17" ht="12.75" customHeight="1">
      <c r="A88" s="16"/>
      <c r="C88" s="72" t="s">
        <v>62</v>
      </c>
      <c r="D88" s="70">
        <f>D86</f>
        <v>5458.9631855747575</v>
      </c>
      <c r="E88" s="70">
        <f aca="true" t="shared" si="62" ref="E88:P88">D88*(1+D82)-E41</f>
        <v>5709.359504132233</v>
      </c>
      <c r="F88" s="70">
        <f t="shared" si="62"/>
        <v>6120.795454545456</v>
      </c>
      <c r="G88" s="29">
        <f t="shared" si="62"/>
        <v>6264.375000000001</v>
      </c>
      <c r="H88" s="70">
        <f t="shared" si="62"/>
        <v>6389.662500000002</v>
      </c>
      <c r="I88" s="70">
        <f t="shared" si="62"/>
        <v>6517.455750000002</v>
      </c>
      <c r="J88" s="70">
        <f t="shared" si="62"/>
        <v>6647.804865000002</v>
      </c>
      <c r="K88" s="70">
        <f t="shared" si="62"/>
        <v>6780.760962300002</v>
      </c>
      <c r="L88" s="70">
        <f t="shared" si="62"/>
        <v>6916.376181546001</v>
      </c>
      <c r="M88" s="29">
        <f t="shared" si="62"/>
        <v>7054.70370517692</v>
      </c>
      <c r="N88" s="70">
        <f t="shared" si="62"/>
        <v>7195.797779280458</v>
      </c>
      <c r="O88" s="70">
        <f t="shared" si="62"/>
        <v>7339.713734866065</v>
      </c>
      <c r="P88" s="70">
        <f t="shared" si="62"/>
        <v>7486.508009563386</v>
      </c>
      <c r="Q88" s="88"/>
    </row>
    <row r="89" spans="1:17" ht="6.75" customHeight="1">
      <c r="A89" s="16"/>
      <c r="C89" s="6"/>
      <c r="D89" s="6"/>
      <c r="E89" s="44"/>
      <c r="F89" s="44"/>
      <c r="G89" s="30"/>
      <c r="H89" s="44"/>
      <c r="I89" s="44"/>
      <c r="J89" s="44"/>
      <c r="K89" s="44"/>
      <c r="L89" s="44"/>
      <c r="M89" s="30"/>
      <c r="N89" s="44"/>
      <c r="O89" s="44"/>
      <c r="P89" s="44"/>
      <c r="Q89" s="44"/>
    </row>
    <row r="90" spans="1:41" s="7" customFormat="1" ht="13.5" customHeight="1">
      <c r="A90" s="16"/>
      <c r="C90" s="7" t="s">
        <v>63</v>
      </c>
      <c r="D90" s="49">
        <f aca="true" t="shared" si="63" ref="D90:P90">(D62*D64+D71*D75)/(D62+D71)</f>
        <v>0.09807655782919619</v>
      </c>
      <c r="E90" s="49">
        <f t="shared" si="63"/>
        <v>0.09816091454875096</v>
      </c>
      <c r="F90" s="49">
        <f t="shared" si="63"/>
        <v>0.0982845366949483</v>
      </c>
      <c r="G90" s="132">
        <f t="shared" si="63"/>
        <v>0.09832385513319364</v>
      </c>
      <c r="H90" s="49">
        <f t="shared" si="63"/>
        <v>0.09832385513319365</v>
      </c>
      <c r="I90" s="49">
        <f t="shared" si="63"/>
        <v>0.09832385513319364</v>
      </c>
      <c r="J90" s="49">
        <f t="shared" si="63"/>
        <v>0.09832385513319365</v>
      </c>
      <c r="K90" s="49">
        <f t="shared" si="63"/>
        <v>0.09832385513319364</v>
      </c>
      <c r="L90" s="49">
        <f t="shared" si="63"/>
        <v>0.09832385513319362</v>
      </c>
      <c r="M90" s="132">
        <f t="shared" si="63"/>
        <v>0.09832385513319365</v>
      </c>
      <c r="N90" s="49">
        <f t="shared" si="63"/>
        <v>0.09832385513319364</v>
      </c>
      <c r="O90" s="49">
        <f t="shared" si="63"/>
        <v>0.09832385513319364</v>
      </c>
      <c r="P90" s="49">
        <f t="shared" si="63"/>
        <v>0.09832385513319362</v>
      </c>
      <c r="Q90" s="49">
        <f>P90</f>
        <v>0.09832385513319362</v>
      </c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</row>
    <row r="91" spans="1:17" ht="13.5" customHeight="1" hidden="1">
      <c r="A91" s="16"/>
      <c r="C91" s="21" t="s">
        <v>64</v>
      </c>
      <c r="D91" s="12">
        <v>1</v>
      </c>
      <c r="E91" s="12">
        <f>1/(1+D90)</f>
        <v>0.9106833151751411</v>
      </c>
      <c r="F91" s="12">
        <f aca="true" t="shared" si="64" ref="F91:Q91">E91/(1+E90)</f>
        <v>0.8292803933468649</v>
      </c>
      <c r="G91" s="98">
        <f t="shared" si="64"/>
        <v>0.7550688056142594</v>
      </c>
      <c r="H91" s="12">
        <f t="shared" si="64"/>
        <v>0.6874737374457666</v>
      </c>
      <c r="I91" s="12">
        <f t="shared" si="64"/>
        <v>0.6259298969359057</v>
      </c>
      <c r="J91" s="12">
        <f t="shared" si="64"/>
        <v>0.569895567696651</v>
      </c>
      <c r="K91" s="12">
        <f t="shared" si="64"/>
        <v>0.5188775287299389</v>
      </c>
      <c r="L91" s="12">
        <f t="shared" si="64"/>
        <v>0.4724267130363062</v>
      </c>
      <c r="M91" s="98">
        <f t="shared" si="64"/>
        <v>0.4301342548724075</v>
      </c>
      <c r="N91" s="12">
        <f t="shared" si="64"/>
        <v>0.39162789086488986</v>
      </c>
      <c r="O91" s="12">
        <f t="shared" si="64"/>
        <v>0.35656868330279246</v>
      </c>
      <c r="P91" s="12">
        <f t="shared" si="64"/>
        <v>0.32464803676648846</v>
      </c>
      <c r="Q91" s="12">
        <f t="shared" si="64"/>
        <v>0.29558498183317566</v>
      </c>
    </row>
    <row r="92" spans="1:17" ht="13.5" customHeight="1" hidden="1">
      <c r="A92" s="45"/>
      <c r="B92" s="42"/>
      <c r="C92" s="42" t="s">
        <v>33</v>
      </c>
      <c r="D92" s="42"/>
      <c r="E92" s="23">
        <f aca="true" t="shared" si="65" ref="E92:P92">E43</f>
        <v>285</v>
      </c>
      <c r="F92" s="23">
        <f t="shared" si="65"/>
        <v>149</v>
      </c>
      <c r="G92" s="101">
        <f t="shared" si="65"/>
        <v>458</v>
      </c>
      <c r="H92" s="23">
        <f t="shared" si="65"/>
        <v>490.6500000000001</v>
      </c>
      <c r="I92" s="23">
        <f t="shared" si="65"/>
        <v>500.46299999999985</v>
      </c>
      <c r="J92" s="23">
        <f t="shared" si="65"/>
        <v>510.4722600000002</v>
      </c>
      <c r="K92" s="23">
        <f t="shared" si="65"/>
        <v>520.6817051999999</v>
      </c>
      <c r="L92" s="23">
        <f t="shared" si="65"/>
        <v>531.0953393039996</v>
      </c>
      <c r="M92" s="101">
        <f t="shared" si="65"/>
        <v>541.7172460900803</v>
      </c>
      <c r="N92" s="23">
        <f t="shared" si="65"/>
        <v>552.5515910118818</v>
      </c>
      <c r="O92" s="23">
        <f t="shared" si="65"/>
        <v>563.6026228321198</v>
      </c>
      <c r="P92" s="23">
        <f t="shared" si="65"/>
        <v>574.8746752887611</v>
      </c>
      <c r="Q92" s="1">
        <f>P92*(1+O$5)+P92*(1+O$5)*(1+O$5)/(P90-O$5)</f>
        <v>8222.610338549188</v>
      </c>
    </row>
    <row r="93" spans="1:17" ht="13.5" customHeight="1" hidden="1">
      <c r="A93" s="16"/>
      <c r="C93" s="21" t="s">
        <v>65</v>
      </c>
      <c r="D93" s="1"/>
      <c r="E93" s="1">
        <f aca="true" t="shared" si="66" ref="E93:Q93">E92*E91</f>
        <v>259.5447448249152</v>
      </c>
      <c r="F93" s="1">
        <f t="shared" si="66"/>
        <v>123.56277860868286</v>
      </c>
      <c r="G93" s="29">
        <f t="shared" si="66"/>
        <v>345.8215129713308</v>
      </c>
      <c r="H93" s="1">
        <f t="shared" si="66"/>
        <v>337.3089892777654</v>
      </c>
      <c r="I93" s="1">
        <f t="shared" si="66"/>
        <v>313.2547540102341</v>
      </c>
      <c r="J93" s="1">
        <f t="shared" si="66"/>
        <v>290.91587840609253</v>
      </c>
      <c r="K93" s="1">
        <f t="shared" si="66"/>
        <v>270.1700364490665</v>
      </c>
      <c r="L93" s="1">
        <f t="shared" si="66"/>
        <v>250.90362545629029</v>
      </c>
      <c r="M93" s="29">
        <f t="shared" si="66"/>
        <v>233.01114399848927</v>
      </c>
      <c r="N93" s="1">
        <f t="shared" si="66"/>
        <v>216.3946141820225</v>
      </c>
      <c r="O93" s="1">
        <f t="shared" si="66"/>
        <v>200.9630451292493</v>
      </c>
      <c r="P93" s="1">
        <f t="shared" si="66"/>
        <v>186.63193471926883</v>
      </c>
      <c r="Q93" s="1">
        <f t="shared" si="66"/>
        <v>2430.4801275413442</v>
      </c>
    </row>
    <row r="94" spans="1:17" ht="13.5" customHeight="1">
      <c r="A94" s="16"/>
      <c r="B94" s="4" t="s">
        <v>59</v>
      </c>
      <c r="C94" s="42" t="s">
        <v>66</v>
      </c>
      <c r="D94" s="18">
        <f>SUM(E93:$Q93)/D91</f>
        <v>5458.963185574752</v>
      </c>
      <c r="E94" s="18">
        <f>SUM(F93:$Q93)/E91</f>
        <v>5709.359504132227</v>
      </c>
      <c r="F94" s="18">
        <f>SUM(G93:$Q93)/F91</f>
        <v>6120.79545454545</v>
      </c>
      <c r="G94" s="91">
        <f>SUM(H93:$Q93)/G91</f>
        <v>6264.374999999995</v>
      </c>
      <c r="H94" s="18">
        <f>SUM(I93:$Q93)/H91</f>
        <v>6389.662499999996</v>
      </c>
      <c r="I94" s="18">
        <f>SUM(J93:$Q93)/I91</f>
        <v>6517.4557499999955</v>
      </c>
      <c r="J94" s="18">
        <f>SUM(K93:$Q93)/J91</f>
        <v>6647.804864999997</v>
      </c>
      <c r="K94" s="18">
        <f>SUM(L93:$Q93)/K91</f>
        <v>6780.760962299996</v>
      </c>
      <c r="L94" s="18">
        <f>SUM(M93:$Q93)/L91</f>
        <v>6916.3761815459975</v>
      </c>
      <c r="M94" s="91">
        <f>SUM(N93:$Q93)/M91</f>
        <v>7054.703705176917</v>
      </c>
      <c r="N94" s="18">
        <f>SUM(O93:$Q93)/N91</f>
        <v>7195.797779280453</v>
      </c>
      <c r="O94" s="18">
        <f>SUM(P93:$Q93)/O91</f>
        <v>7339.713734866063</v>
      </c>
      <c r="P94" s="18">
        <f>SUM(Q93:$Q93)/P91</f>
        <v>7486.508009563386</v>
      </c>
      <c r="Q94" s="18"/>
    </row>
    <row r="95" spans="1:41" s="65" customFormat="1" ht="12.75" customHeight="1" thickBot="1">
      <c r="A95" s="64"/>
      <c r="B95" s="65" t="s">
        <v>48</v>
      </c>
      <c r="C95" s="77" t="s">
        <v>67</v>
      </c>
      <c r="D95" s="79">
        <f aca="true" t="shared" si="67" ref="D95:P95">D94-D62</f>
        <v>3958.963185574754</v>
      </c>
      <c r="E95" s="79">
        <f t="shared" si="67"/>
        <v>4209.359504132229</v>
      </c>
      <c r="F95" s="79">
        <f t="shared" si="67"/>
        <v>4620.795454545452</v>
      </c>
      <c r="G95" s="95">
        <f t="shared" si="67"/>
        <v>4764.374999999997</v>
      </c>
      <c r="H95" s="79">
        <f t="shared" si="67"/>
        <v>4859.662499999998</v>
      </c>
      <c r="I95" s="79">
        <f t="shared" si="67"/>
        <v>4956.855749999997</v>
      </c>
      <c r="J95" s="79">
        <f t="shared" si="67"/>
        <v>5055.992864999999</v>
      </c>
      <c r="K95" s="79">
        <f t="shared" si="67"/>
        <v>5157.1127222999985</v>
      </c>
      <c r="L95" s="79">
        <f t="shared" si="67"/>
        <v>5260.254976746</v>
      </c>
      <c r="M95" s="95">
        <f t="shared" si="67"/>
        <v>5365.460076280919</v>
      </c>
      <c r="N95" s="79">
        <f t="shared" si="67"/>
        <v>5472.769277806535</v>
      </c>
      <c r="O95" s="79">
        <f t="shared" si="67"/>
        <v>5582.2246633626655</v>
      </c>
      <c r="P95" s="79">
        <f t="shared" si="67"/>
        <v>5693.86915662992</v>
      </c>
      <c r="Q95" s="108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</row>
    <row r="96" spans="1:17" ht="7.5" customHeight="1">
      <c r="A96" s="16"/>
      <c r="D96" s="40"/>
      <c r="E96" s="40"/>
      <c r="F96" s="40"/>
      <c r="G96" s="33"/>
      <c r="H96" s="40"/>
      <c r="I96" s="40"/>
      <c r="J96" s="22"/>
      <c r="K96" s="22"/>
      <c r="L96" s="22"/>
      <c r="M96" s="26"/>
      <c r="N96" s="22"/>
      <c r="O96" s="22"/>
      <c r="P96" s="22"/>
      <c r="Q96" s="22"/>
    </row>
    <row r="97" spans="1:17" ht="12.75" customHeight="1">
      <c r="A97" s="16"/>
      <c r="C97" s="166" t="s">
        <v>68</v>
      </c>
      <c r="D97" s="70"/>
      <c r="E97" s="70">
        <f aca="true" t="shared" si="68" ref="E97:P97">E$29-D$14*D75</f>
        <v>142.5372339819865</v>
      </c>
      <c r="F97" s="70">
        <f t="shared" si="68"/>
        <v>308.54475710856855</v>
      </c>
      <c r="G97" s="70">
        <f t="shared" si="68"/>
        <v>312.84965447704303</v>
      </c>
      <c r="H97" s="70">
        <f t="shared" si="68"/>
        <v>322.44362455726105</v>
      </c>
      <c r="I97" s="70">
        <f t="shared" si="68"/>
        <v>328.8924970484063</v>
      </c>
      <c r="J97" s="70">
        <f t="shared" si="68"/>
        <v>335.47034698937443</v>
      </c>
      <c r="K97" s="70">
        <f t="shared" si="68"/>
        <v>342.17975392916173</v>
      </c>
      <c r="L97" s="70">
        <f t="shared" si="68"/>
        <v>349.0233490077451</v>
      </c>
      <c r="M97" s="70">
        <f t="shared" si="68"/>
        <v>356.00381598789994</v>
      </c>
      <c r="N97" s="70">
        <f t="shared" si="68"/>
        <v>363.123892307658</v>
      </c>
      <c r="O97" s="70">
        <f t="shared" si="68"/>
        <v>370.3863701538111</v>
      </c>
      <c r="P97" s="70">
        <f t="shared" si="68"/>
        <v>377.79409755688744</v>
      </c>
      <c r="Q97" s="1">
        <f>P97*(1+O$5)+P97*(1+O$5)*(1+O$5)/(P75-O$5)</f>
        <v>5059.431708675425</v>
      </c>
    </row>
    <row r="98" spans="1:41" s="42" customFormat="1" ht="12.75" customHeight="1">
      <c r="A98" s="45"/>
      <c r="C98" s="39" t="s">
        <v>69</v>
      </c>
      <c r="D98" s="18"/>
      <c r="E98" s="18">
        <f aca="true" t="shared" si="69" ref="E98:P98">E$29+E$25*(1-$F$1)-(D$13+D$14)*D82</f>
        <v>92.2344217080381</v>
      </c>
      <c r="F98" s="18">
        <f t="shared" si="69"/>
        <v>257.6667173301777</v>
      </c>
      <c r="G98" s="18">
        <f t="shared" si="69"/>
        <v>264.78535358223644</v>
      </c>
      <c r="H98" s="18">
        <f t="shared" si="69"/>
        <v>274.61516013169717</v>
      </c>
      <c r="I98" s="18">
        <f t="shared" si="69"/>
        <v>280.1074633343312</v>
      </c>
      <c r="J98" s="18">
        <f t="shared" si="69"/>
        <v>285.70961260101785</v>
      </c>
      <c r="K98" s="18">
        <f t="shared" si="69"/>
        <v>291.42380485303806</v>
      </c>
      <c r="L98" s="18">
        <f t="shared" si="69"/>
        <v>297.2522809500989</v>
      </c>
      <c r="M98" s="18">
        <f t="shared" si="69"/>
        <v>303.1973265691008</v>
      </c>
      <c r="N98" s="18">
        <f t="shared" si="69"/>
        <v>309.26127310048287</v>
      </c>
      <c r="O98" s="18">
        <f t="shared" si="69"/>
        <v>315.4464985624925</v>
      </c>
      <c r="P98" s="18">
        <f t="shared" si="69"/>
        <v>321.7554285337425</v>
      </c>
      <c r="Q98" s="36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</row>
    <row r="99" spans="1:17" ht="12.75" customHeight="1">
      <c r="A99" s="16"/>
      <c r="C99" s="56"/>
      <c r="D99" s="70"/>
      <c r="E99" s="70"/>
      <c r="F99" s="70"/>
      <c r="G99" s="29"/>
      <c r="H99" s="70"/>
      <c r="I99" s="70"/>
      <c r="J99" s="70"/>
      <c r="K99" s="70"/>
      <c r="L99" s="70"/>
      <c r="M99" s="29"/>
      <c r="N99" s="70"/>
      <c r="O99" s="70"/>
      <c r="P99" s="70"/>
      <c r="Q99" s="71"/>
    </row>
    <row r="100" spans="1:17" ht="12.75" customHeight="1" hidden="1">
      <c r="A100" s="16"/>
      <c r="C100" s="21" t="s">
        <v>53</v>
      </c>
      <c r="D100" s="70"/>
      <c r="E100" s="70">
        <f aca="true" t="shared" si="70" ref="E100:P100">E76</f>
        <v>0.9050383677507365</v>
      </c>
      <c r="F100" s="70">
        <f t="shared" si="70"/>
        <v>0.8193117078239948</v>
      </c>
      <c r="G100" s="29">
        <f t="shared" si="70"/>
        <v>0.7419822759732455</v>
      </c>
      <c r="H100" s="70">
        <f t="shared" si="70"/>
        <v>0.6720288587588725</v>
      </c>
      <c r="I100" s="70">
        <f t="shared" si="70"/>
        <v>0.6086705863861327</v>
      </c>
      <c r="J100" s="70">
        <f t="shared" si="70"/>
        <v>0.5512856745703666</v>
      </c>
      <c r="K100" s="70">
        <f t="shared" si="70"/>
        <v>0.499310960286331</v>
      </c>
      <c r="L100" s="70">
        <f t="shared" si="70"/>
        <v>0.452236375008935</v>
      </c>
      <c r="M100" s="29">
        <f t="shared" si="70"/>
        <v>0.4095999390118353</v>
      </c>
      <c r="N100" s="70">
        <f t="shared" si="70"/>
        <v>0.3709832275990282</v>
      </c>
      <c r="O100" s="70">
        <f t="shared" si="70"/>
        <v>0.33600726477602233</v>
      </c>
      <c r="P100" s="70">
        <f t="shared" si="70"/>
        <v>0.3043288040619757</v>
      </c>
      <c r="Q100" s="74">
        <f>P100/(1+$P75)</f>
        <v>0.27563695994349685</v>
      </c>
    </row>
    <row r="101" spans="1:17" ht="12.75" customHeight="1" hidden="1">
      <c r="A101" s="16"/>
      <c r="C101" s="21" t="s">
        <v>70</v>
      </c>
      <c r="D101" s="1"/>
      <c r="E101" s="1">
        <f>E97*E100</f>
        <v>129.00166558676187</v>
      </c>
      <c r="F101" s="1">
        <f aca="true" t="shared" si="71" ref="F101:Q101">F97*F100</f>
        <v>252.79433188676094</v>
      </c>
      <c r="G101" s="29">
        <f t="shared" si="71"/>
        <v>232.12889866631986</v>
      </c>
      <c r="H101" s="1">
        <f t="shared" si="71"/>
        <v>216.6914210252905</v>
      </c>
      <c r="I101" s="1">
        <f t="shared" si="71"/>
        <v>200.18718903645288</v>
      </c>
      <c r="J101" s="1">
        <f t="shared" si="71"/>
        <v>184.93999653839222</v>
      </c>
      <c r="K101" s="1">
        <f t="shared" si="71"/>
        <v>170.8541015249102</v>
      </c>
      <c r="L101" s="1">
        <f t="shared" si="71"/>
        <v>157.841054148741</v>
      </c>
      <c r="M101" s="29">
        <f t="shared" si="71"/>
        <v>145.81914131662444</v>
      </c>
      <c r="N101" s="1">
        <f t="shared" si="71"/>
        <v>134.7128735866169</v>
      </c>
      <c r="O101" s="1">
        <f t="shared" si="71"/>
        <v>124.45251114570141</v>
      </c>
      <c r="P101" s="1">
        <f t="shared" si="71"/>
        <v>114.97362589116094</v>
      </c>
      <c r="Q101" s="1">
        <f t="shared" si="71"/>
        <v>1394.566375221026</v>
      </c>
    </row>
    <row r="102" spans="1:17" ht="12.75" customHeight="1">
      <c r="A102" s="16"/>
      <c r="C102" s="42" t="s">
        <v>71</v>
      </c>
      <c r="D102" s="18">
        <f>SUM(E101:$Q101)/D76</f>
        <v>3458.9631855747593</v>
      </c>
      <c r="E102" s="18">
        <f>SUM(F101:$Q101)/E76</f>
        <v>3679.359504132235</v>
      </c>
      <c r="F102" s="18">
        <f>SUM(G101:$Q101)/F76</f>
        <v>3755.7954545454586</v>
      </c>
      <c r="G102" s="91">
        <f>SUM(H101:$Q101)/G76</f>
        <v>3834.375000000005</v>
      </c>
      <c r="H102" s="18">
        <f>SUM(I101:$Q101)/H76</f>
        <v>3911.0625000000045</v>
      </c>
      <c r="I102" s="18">
        <f>SUM(J101:$Q101)/I76</f>
        <v>3989.2837500000046</v>
      </c>
      <c r="J102" s="18">
        <f>SUM(K101:$Q101)/J76</f>
        <v>4069.0694250000033</v>
      </c>
      <c r="K102" s="18">
        <f>SUM(L101:$Q101)/K76</f>
        <v>4150.450813500003</v>
      </c>
      <c r="L102" s="18">
        <f>SUM(M101:$Q101)/L76</f>
        <v>4233.459829770004</v>
      </c>
      <c r="M102" s="91">
        <f>SUM(N101:$Q101)/M76</f>
        <v>4318.129026365404</v>
      </c>
      <c r="N102" s="18">
        <f>SUM(O101:$Q101)/N76</f>
        <v>4404.491606892712</v>
      </c>
      <c r="O102" s="18">
        <f>SUM(P101:$Q101)/O76</f>
        <v>4492.581439030567</v>
      </c>
      <c r="P102" s="18">
        <f>SUM(Q101:$Q101)/P76</f>
        <v>4582.433067811177</v>
      </c>
      <c r="Q102" s="71"/>
    </row>
    <row r="103" spans="1:41" s="65" customFormat="1" ht="12.75" customHeight="1" thickBot="1">
      <c r="A103" s="64"/>
      <c r="B103" s="65" t="s">
        <v>72</v>
      </c>
      <c r="C103" s="77" t="s">
        <v>73</v>
      </c>
      <c r="D103" s="79">
        <f aca="true" t="shared" si="72" ref="D103:P103">D102+D$14</f>
        <v>3958.9631855747593</v>
      </c>
      <c r="E103" s="79">
        <f t="shared" si="72"/>
        <v>4209.359504132235</v>
      </c>
      <c r="F103" s="79">
        <f t="shared" si="72"/>
        <v>4620.795454545459</v>
      </c>
      <c r="G103" s="79">
        <f t="shared" si="72"/>
        <v>4764.3750000000055</v>
      </c>
      <c r="H103" s="79">
        <f t="shared" si="72"/>
        <v>4859.662500000004</v>
      </c>
      <c r="I103" s="79">
        <f t="shared" si="72"/>
        <v>4956.855750000004</v>
      </c>
      <c r="J103" s="79">
        <f t="shared" si="72"/>
        <v>5055.992865000004</v>
      </c>
      <c r="K103" s="79">
        <f t="shared" si="72"/>
        <v>5157.112722300003</v>
      </c>
      <c r="L103" s="79">
        <f t="shared" si="72"/>
        <v>5260.254976746004</v>
      </c>
      <c r="M103" s="79">
        <f t="shared" si="72"/>
        <v>5365.460076280924</v>
      </c>
      <c r="N103" s="79">
        <f t="shared" si="72"/>
        <v>5472.769277806543</v>
      </c>
      <c r="O103" s="79">
        <f t="shared" si="72"/>
        <v>5582.224663362674</v>
      </c>
      <c r="P103" s="79">
        <f t="shared" si="72"/>
        <v>5693.869156629927</v>
      </c>
      <c r="Q103" s="90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</row>
    <row r="104" spans="1:17" s="69" customFormat="1" ht="6.75" customHeight="1">
      <c r="A104" s="55"/>
      <c r="C104" s="56"/>
      <c r="D104" s="57"/>
      <c r="E104" s="57"/>
      <c r="F104" s="57"/>
      <c r="G104" s="97"/>
      <c r="H104" s="57"/>
      <c r="I104" s="57"/>
      <c r="J104" s="57"/>
      <c r="K104" s="57"/>
      <c r="L104" s="57"/>
      <c r="M104" s="97"/>
      <c r="N104" s="57"/>
      <c r="O104" s="57"/>
      <c r="P104" s="57"/>
      <c r="Q104" s="71"/>
    </row>
    <row r="105" spans="1:17" s="69" customFormat="1" ht="12" customHeight="1" hidden="1">
      <c r="A105" s="75"/>
      <c r="C105" s="69" t="s">
        <v>69</v>
      </c>
      <c r="D105" s="58"/>
      <c r="E105" s="58">
        <f aca="true" t="shared" si="73" ref="E105:P105">E98</f>
        <v>92.2344217080381</v>
      </c>
      <c r="F105" s="58">
        <f t="shared" si="73"/>
        <v>257.6667173301777</v>
      </c>
      <c r="G105" s="93">
        <f t="shared" si="73"/>
        <v>264.78535358223644</v>
      </c>
      <c r="H105" s="58">
        <f t="shared" si="73"/>
        <v>274.61516013169717</v>
      </c>
      <c r="I105" s="58">
        <f t="shared" si="73"/>
        <v>280.1074633343312</v>
      </c>
      <c r="J105" s="58">
        <f t="shared" si="73"/>
        <v>285.70961260101785</v>
      </c>
      <c r="K105" s="58">
        <f t="shared" si="73"/>
        <v>291.42380485303806</v>
      </c>
      <c r="L105" s="58">
        <f t="shared" si="73"/>
        <v>297.2522809500989</v>
      </c>
      <c r="M105" s="93">
        <f t="shared" si="73"/>
        <v>303.1973265691008</v>
      </c>
      <c r="N105" s="58">
        <f t="shared" si="73"/>
        <v>309.26127310048287</v>
      </c>
      <c r="O105" s="58">
        <f t="shared" si="73"/>
        <v>315.4464985624925</v>
      </c>
      <c r="P105" s="58">
        <f t="shared" si="73"/>
        <v>321.7554285337425</v>
      </c>
      <c r="Q105" s="1">
        <f>P105*(1+O$5)+P105*(1+O$5)*(1+O$5)/(P82-O$5)</f>
        <v>5002.27226627182</v>
      </c>
    </row>
    <row r="106" spans="1:17" ht="12" customHeight="1" hidden="1">
      <c r="A106" s="16"/>
      <c r="C106" s="21" t="s">
        <v>74</v>
      </c>
      <c r="D106" s="1"/>
      <c r="E106" s="1">
        <f>E105*E83</f>
        <v>84.58902930802745</v>
      </c>
      <c r="F106" s="1">
        <f aca="true" t="shared" si="74" ref="F106:Q106">F105*F83</f>
        <v>216.63687725321324</v>
      </c>
      <c r="G106" s="29">
        <f t="shared" si="74"/>
        <v>203.97410928623944</v>
      </c>
      <c r="H106" s="1">
        <f t="shared" si="74"/>
        <v>193.79135511840718</v>
      </c>
      <c r="I106" s="1">
        <f t="shared" si="74"/>
        <v>181.07703539788068</v>
      </c>
      <c r="J106" s="1">
        <f t="shared" si="74"/>
        <v>169.1968804720479</v>
      </c>
      <c r="K106" s="1">
        <f t="shared" si="74"/>
        <v>158.09616221388333</v>
      </c>
      <c r="L106" s="1">
        <f t="shared" si="74"/>
        <v>147.7237431152741</v>
      </c>
      <c r="M106" s="29">
        <f t="shared" si="74"/>
        <v>138.03184071264658</v>
      </c>
      <c r="N106" s="1">
        <f t="shared" si="74"/>
        <v>128.97580746822717</v>
      </c>
      <c r="O106" s="1">
        <f t="shared" si="74"/>
        <v>120.513925092916</v>
      </c>
      <c r="P106" s="1">
        <f t="shared" si="74"/>
        <v>112.60721236328622</v>
      </c>
      <c r="Q106" s="1">
        <f t="shared" si="74"/>
        <v>1603.749207772711</v>
      </c>
    </row>
    <row r="107" spans="1:17" ht="12" customHeight="1">
      <c r="A107" s="16"/>
      <c r="C107" s="42" t="s">
        <v>75</v>
      </c>
      <c r="D107" s="18">
        <f>SUM(E106:$Q106)/D83</f>
        <v>3458.9631855747602</v>
      </c>
      <c r="E107" s="18">
        <f>SUM(F106:$Q106)/E83</f>
        <v>3679.3595041322365</v>
      </c>
      <c r="F107" s="18">
        <f>SUM(G106:$Q106)/F83</f>
        <v>3755.7954545454595</v>
      </c>
      <c r="G107" s="91">
        <f>SUM(H106:$Q106)/G83</f>
        <v>3834.375000000005</v>
      </c>
      <c r="H107" s="18">
        <f>SUM(I106:$Q106)/H83</f>
        <v>3911.062500000006</v>
      </c>
      <c r="I107" s="18">
        <f>SUM(J106:$Q106)/I83</f>
        <v>3989.283750000005</v>
      </c>
      <c r="J107" s="18">
        <f>SUM(K106:$Q106)/J83</f>
        <v>4069.069425000006</v>
      </c>
      <c r="K107" s="18">
        <f>SUM(L106:$Q106)/K83</f>
        <v>4150.450813500006</v>
      </c>
      <c r="L107" s="18">
        <f>SUM(M106:$Q106)/L83</f>
        <v>4233.459829770006</v>
      </c>
      <c r="M107" s="91">
        <f>SUM(N106:$Q106)/M83</f>
        <v>4318.1290263654055</v>
      </c>
      <c r="N107" s="18">
        <f>SUM(O106:$Q106)/N83</f>
        <v>4404.491606892714</v>
      </c>
      <c r="O107" s="18">
        <f>SUM(P106:$Q106)/O83</f>
        <v>4492.581439030568</v>
      </c>
      <c r="P107" s="18">
        <f>SUM(Q106:$Q106)/P83</f>
        <v>4582.433067811179</v>
      </c>
      <c r="Q107" s="18"/>
    </row>
    <row r="108" spans="1:41" s="65" customFormat="1" ht="12.75" customHeight="1" thickBot="1">
      <c r="A108" s="64"/>
      <c r="B108" s="65" t="s">
        <v>76</v>
      </c>
      <c r="C108" s="77"/>
      <c r="D108" s="112">
        <f aca="true" t="shared" si="75" ref="D108:P108">D107+D$14-(D$62-D$58)</f>
        <v>3958.963185574762</v>
      </c>
      <c r="E108" s="112">
        <f t="shared" si="75"/>
        <v>4209.359504132239</v>
      </c>
      <c r="F108" s="112">
        <f t="shared" si="75"/>
        <v>4620.795454545461</v>
      </c>
      <c r="G108" s="112">
        <f t="shared" si="75"/>
        <v>4764.375000000007</v>
      </c>
      <c r="H108" s="112">
        <f t="shared" si="75"/>
        <v>4859.662500000008</v>
      </c>
      <c r="I108" s="112">
        <f t="shared" si="75"/>
        <v>4956.855750000007</v>
      </c>
      <c r="J108" s="112">
        <f t="shared" si="75"/>
        <v>5055.992865000008</v>
      </c>
      <c r="K108" s="112">
        <f t="shared" si="75"/>
        <v>5157.112722300008</v>
      </c>
      <c r="L108" s="112">
        <f t="shared" si="75"/>
        <v>5260.254976746008</v>
      </c>
      <c r="M108" s="112">
        <f t="shared" si="75"/>
        <v>5365.460076280928</v>
      </c>
      <c r="N108" s="112">
        <f t="shared" si="75"/>
        <v>5472.769277806547</v>
      </c>
      <c r="O108" s="112">
        <f t="shared" si="75"/>
        <v>5582.224663362676</v>
      </c>
      <c r="P108" s="112">
        <f t="shared" si="75"/>
        <v>5693.86915662993</v>
      </c>
      <c r="Q108" s="90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</row>
    <row r="109" spans="1:17" s="69" customFormat="1" ht="12.75" customHeight="1">
      <c r="A109"/>
      <c r="C109" s="56"/>
      <c r="D109" s="57"/>
      <c r="E109" s="57"/>
      <c r="F109" s="57"/>
      <c r="G109" s="97"/>
      <c r="H109" s="57"/>
      <c r="I109" s="57"/>
      <c r="J109" s="57"/>
      <c r="K109" s="57"/>
      <c r="L109" s="57"/>
      <c r="M109" s="97"/>
      <c r="N109" s="57"/>
      <c r="O109" s="57"/>
      <c r="P109" s="57"/>
      <c r="Q109" s="71"/>
    </row>
    <row r="110" spans="1:17" ht="12" customHeight="1">
      <c r="A110" s="45"/>
      <c r="B110" s="42"/>
      <c r="C110" s="39" t="s">
        <v>77</v>
      </c>
      <c r="D110" s="42"/>
      <c r="E110" s="59">
        <f aca="true" t="shared" si="76" ref="E110:Q110">E$40-D71*(D75-D$51)</f>
        <v>145.50000000000006</v>
      </c>
      <c r="F110" s="59">
        <f t="shared" si="76"/>
        <v>9.50000000000006</v>
      </c>
      <c r="G110" s="59">
        <f t="shared" si="76"/>
        <v>318.5000000000001</v>
      </c>
      <c r="H110" s="59">
        <f t="shared" si="76"/>
        <v>381.1500000000002</v>
      </c>
      <c r="I110" s="59">
        <f t="shared" si="76"/>
        <v>388.77300000000014</v>
      </c>
      <c r="J110" s="59">
        <f t="shared" si="76"/>
        <v>396.54846000000026</v>
      </c>
      <c r="K110" s="59">
        <f t="shared" si="76"/>
        <v>404.4794292000001</v>
      </c>
      <c r="L110" s="59">
        <f t="shared" si="76"/>
        <v>412.56901778399975</v>
      </c>
      <c r="M110" s="59">
        <f t="shared" si="76"/>
        <v>420.82039813968044</v>
      </c>
      <c r="N110" s="59">
        <f t="shared" si="76"/>
        <v>429.23680610247385</v>
      </c>
      <c r="O110" s="59">
        <f t="shared" si="76"/>
        <v>437.8215422245239</v>
      </c>
      <c r="P110" s="59">
        <f t="shared" si="76"/>
        <v>446.5779730690132</v>
      </c>
      <c r="Q110" s="59">
        <f t="shared" si="76"/>
        <v>455.50953253039336</v>
      </c>
    </row>
    <row r="111" spans="1:41" s="7" customFormat="1" ht="12" customHeight="1">
      <c r="A111" s="45"/>
      <c r="B111" s="39"/>
      <c r="C111" s="39" t="s">
        <v>78</v>
      </c>
      <c r="D111" s="39"/>
      <c r="E111" s="59">
        <f aca="true" t="shared" si="77" ref="E111:Q111">E$41-D86*(D82-D$51)</f>
        <v>295.5</v>
      </c>
      <c r="F111" s="59">
        <f t="shared" si="77"/>
        <v>159.50000000000003</v>
      </c>
      <c r="G111" s="59">
        <f t="shared" si="77"/>
        <v>468.50000000000006</v>
      </c>
      <c r="H111" s="59">
        <f t="shared" si="77"/>
        <v>501.1500000000001</v>
      </c>
      <c r="I111" s="59">
        <f t="shared" si="77"/>
        <v>511.17299999999994</v>
      </c>
      <c r="J111" s="59">
        <f t="shared" si="77"/>
        <v>521.3964600000004</v>
      </c>
      <c r="K111" s="59">
        <f t="shared" si="77"/>
        <v>531.8243892</v>
      </c>
      <c r="L111" s="59">
        <f t="shared" si="77"/>
        <v>542.4608769839997</v>
      </c>
      <c r="M111" s="59">
        <f t="shared" si="77"/>
        <v>553.3100945236804</v>
      </c>
      <c r="N111" s="59">
        <f t="shared" si="77"/>
        <v>564.3762964141538</v>
      </c>
      <c r="O111" s="59">
        <f t="shared" si="77"/>
        <v>575.6638223424374</v>
      </c>
      <c r="P111" s="59">
        <f t="shared" si="77"/>
        <v>587.177098789285</v>
      </c>
      <c r="Q111" s="59">
        <f t="shared" si="77"/>
        <v>598.9206407650707</v>
      </c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</row>
    <row r="112" spans="1:41" s="7" customFormat="1" ht="12" customHeight="1">
      <c r="A112" s="55"/>
      <c r="B112" s="56"/>
      <c r="C112" s="56"/>
      <c r="D112" s="92"/>
      <c r="E112" s="61"/>
      <c r="F112" s="61"/>
      <c r="G112" s="62"/>
      <c r="H112" s="61"/>
      <c r="I112" s="61"/>
      <c r="J112" s="61"/>
      <c r="K112" s="61"/>
      <c r="L112" s="61"/>
      <c r="M112" s="62"/>
      <c r="N112" s="61"/>
      <c r="O112" s="61"/>
      <c r="P112" s="61"/>
      <c r="Q112" s="61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</row>
    <row r="113" spans="1:41" s="7" customFormat="1" ht="12" customHeight="1">
      <c r="A113" s="16"/>
      <c r="C113" s="7" t="s">
        <v>36</v>
      </c>
      <c r="D113" s="51">
        <f aca="true" t="shared" si="78" ref="D113:Q113">D$51</f>
        <v>0.1</v>
      </c>
      <c r="E113" s="51">
        <f t="shared" si="78"/>
        <v>0.1</v>
      </c>
      <c r="F113" s="51">
        <f t="shared" si="78"/>
        <v>0.1</v>
      </c>
      <c r="G113" s="51">
        <f t="shared" si="78"/>
        <v>0.1</v>
      </c>
      <c r="H113" s="51">
        <f t="shared" si="78"/>
        <v>0.1</v>
      </c>
      <c r="I113" s="51">
        <f t="shared" si="78"/>
        <v>0.1</v>
      </c>
      <c r="J113" s="51">
        <f t="shared" si="78"/>
        <v>0.1</v>
      </c>
      <c r="K113" s="51">
        <f t="shared" si="78"/>
        <v>0.1</v>
      </c>
      <c r="L113" s="51">
        <f t="shared" si="78"/>
        <v>0.1</v>
      </c>
      <c r="M113" s="51">
        <f t="shared" si="78"/>
        <v>0.1</v>
      </c>
      <c r="N113" s="51">
        <f t="shared" si="78"/>
        <v>0.1</v>
      </c>
      <c r="O113" s="51">
        <f t="shared" si="78"/>
        <v>0.1</v>
      </c>
      <c r="P113" s="51">
        <f t="shared" si="78"/>
        <v>0.1</v>
      </c>
      <c r="Q113" s="51">
        <f t="shared" si="78"/>
        <v>0.1</v>
      </c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</row>
    <row r="114" spans="1:17" ht="12" customHeight="1" hidden="1">
      <c r="A114" s="16"/>
      <c r="C114" s="21" t="s">
        <v>53</v>
      </c>
      <c r="D114" s="12">
        <v>1</v>
      </c>
      <c r="E114" s="12">
        <f>1/(1+D113)</f>
        <v>0.9090909090909091</v>
      </c>
      <c r="F114" s="46">
        <f aca="true" t="shared" si="79" ref="F114:Q114">E114/(1+E113)</f>
        <v>0.8264462809917354</v>
      </c>
      <c r="G114" s="96">
        <f t="shared" si="79"/>
        <v>0.7513148009015777</v>
      </c>
      <c r="H114" s="46">
        <f t="shared" si="79"/>
        <v>0.6830134553650705</v>
      </c>
      <c r="I114" s="46">
        <f t="shared" si="79"/>
        <v>0.6209213230591549</v>
      </c>
      <c r="J114" s="46">
        <f t="shared" si="79"/>
        <v>0.5644739300537771</v>
      </c>
      <c r="K114" s="46">
        <f t="shared" si="79"/>
        <v>0.5131581182307065</v>
      </c>
      <c r="L114" s="46">
        <f t="shared" si="79"/>
        <v>0.4665073802097331</v>
      </c>
      <c r="M114" s="96">
        <f t="shared" si="79"/>
        <v>0.4240976183724846</v>
      </c>
      <c r="N114" s="46">
        <f t="shared" si="79"/>
        <v>0.3855432894295314</v>
      </c>
      <c r="O114" s="46">
        <f t="shared" si="79"/>
        <v>0.35049389948139215</v>
      </c>
      <c r="P114" s="46">
        <f t="shared" si="79"/>
        <v>0.31863081771035645</v>
      </c>
      <c r="Q114" s="46">
        <f t="shared" si="79"/>
        <v>0.2896643797366877</v>
      </c>
    </row>
    <row r="115" spans="1:17" ht="12" customHeight="1" hidden="1">
      <c r="A115" s="16"/>
      <c r="B115" s="42"/>
      <c r="C115" s="42" t="s">
        <v>122</v>
      </c>
      <c r="D115" s="42"/>
      <c r="E115" s="23">
        <f aca="true" t="shared" si="80" ref="E115:P115">E110</f>
        <v>145.50000000000006</v>
      </c>
      <c r="F115" s="23">
        <f t="shared" si="80"/>
        <v>9.50000000000006</v>
      </c>
      <c r="G115" s="101">
        <f t="shared" si="80"/>
        <v>318.5000000000001</v>
      </c>
      <c r="H115" s="23">
        <f t="shared" si="80"/>
        <v>381.1500000000002</v>
      </c>
      <c r="I115" s="23">
        <f t="shared" si="80"/>
        <v>388.77300000000014</v>
      </c>
      <c r="J115" s="23">
        <f t="shared" si="80"/>
        <v>396.54846000000026</v>
      </c>
      <c r="K115" s="23">
        <f t="shared" si="80"/>
        <v>404.4794292000001</v>
      </c>
      <c r="L115" s="23">
        <f t="shared" si="80"/>
        <v>412.56901778399975</v>
      </c>
      <c r="M115" s="23">
        <f t="shared" si="80"/>
        <v>420.82039813968044</v>
      </c>
      <c r="N115" s="23">
        <f t="shared" si="80"/>
        <v>429.23680610247385</v>
      </c>
      <c r="O115" s="23">
        <f t="shared" si="80"/>
        <v>437.8215422245239</v>
      </c>
      <c r="P115" s="23">
        <f t="shared" si="80"/>
        <v>446.5779730690132</v>
      </c>
      <c r="Q115" s="1">
        <f>P115*(1+O$5)+P115*(1+O$5)*(1+O$5)/(P113-O$5)</f>
        <v>6263.25607229291</v>
      </c>
    </row>
    <row r="116" spans="1:17" ht="12" customHeight="1" hidden="1">
      <c r="A116" s="16"/>
      <c r="C116" s="21" t="s">
        <v>54</v>
      </c>
      <c r="D116" s="1"/>
      <c r="E116" s="1">
        <f aca="true" t="shared" si="81" ref="E116:Q116">E115*E114</f>
        <v>132.2727272727273</v>
      </c>
      <c r="F116" s="1">
        <f t="shared" si="81"/>
        <v>7.8512396694215365</v>
      </c>
      <c r="G116" s="29">
        <f t="shared" si="81"/>
        <v>239.29376408715257</v>
      </c>
      <c r="H116" s="1">
        <f t="shared" si="81"/>
        <v>260.33057851239676</v>
      </c>
      <c r="I116" s="1">
        <f t="shared" si="81"/>
        <v>241.39744552967693</v>
      </c>
      <c r="J116" s="1">
        <f t="shared" si="81"/>
        <v>223.84126767297317</v>
      </c>
      <c r="K116" s="1">
        <f t="shared" si="81"/>
        <v>207.5619027513023</v>
      </c>
      <c r="L116" s="1">
        <f t="shared" si="81"/>
        <v>192.4664916421165</v>
      </c>
      <c r="M116" s="29">
        <f t="shared" si="81"/>
        <v>178.46892861359922</v>
      </c>
      <c r="N116" s="1">
        <f t="shared" si="81"/>
        <v>165.48937016897372</v>
      </c>
      <c r="O116" s="1">
        <f t="shared" si="81"/>
        <v>153.45377961123037</v>
      </c>
      <c r="P116" s="1">
        <f t="shared" si="81"/>
        <v>142.29350473041322</v>
      </c>
      <c r="Q116" s="1">
        <f t="shared" si="81"/>
        <v>1814.2421853127685</v>
      </c>
    </row>
    <row r="117" spans="1:17" ht="12" customHeight="1">
      <c r="A117" s="16"/>
      <c r="C117" s="47" t="s">
        <v>79</v>
      </c>
      <c r="D117" s="38">
        <f>SUM(E116:$Q116)/D114</f>
        <v>3958.963185574752</v>
      </c>
      <c r="E117" s="38">
        <f>SUM(F116:$Q116)/E114</f>
        <v>4209.359504132228</v>
      </c>
      <c r="F117" s="38">
        <f>SUM(G116:$Q116)/F114</f>
        <v>4620.79545454545</v>
      </c>
      <c r="G117" s="27">
        <f>SUM(H116:$Q116)/G114</f>
        <v>4764.374999999995</v>
      </c>
      <c r="H117" s="38">
        <f>SUM(I116:$Q116)/H114</f>
        <v>4859.662499999995</v>
      </c>
      <c r="I117" s="38">
        <f>SUM(J116:$Q116)/I114</f>
        <v>4956.855749999996</v>
      </c>
      <c r="J117" s="38">
        <f>SUM(K116:$Q116)/J114</f>
        <v>5055.9928649999965</v>
      </c>
      <c r="K117" s="38">
        <f>SUM(L116:$Q116)/K114</f>
        <v>5157.112722299996</v>
      </c>
      <c r="L117" s="38">
        <f>SUM(M116:$Q116)/L114</f>
        <v>5260.254976745996</v>
      </c>
      <c r="M117" s="27">
        <f>SUM(N116:$Q116)/M114</f>
        <v>5365.460076280916</v>
      </c>
      <c r="N117" s="38">
        <f>SUM(O116:$Q116)/N114</f>
        <v>5472.769277806534</v>
      </c>
      <c r="O117" s="38">
        <f>SUM(P116:$Q116)/O114</f>
        <v>5582.224663362664</v>
      </c>
      <c r="P117" s="38">
        <f>SUM(Q116:$Q116)/P114</f>
        <v>5693.8691566299185</v>
      </c>
      <c r="Q117" s="38"/>
    </row>
    <row r="118" spans="1:16" ht="12.75" customHeight="1">
      <c r="A118" s="16"/>
      <c r="D118" s="41"/>
      <c r="E118" s="41"/>
      <c r="F118" s="41"/>
      <c r="G118" s="146"/>
      <c r="H118" s="41"/>
      <c r="I118" s="41"/>
      <c r="J118" s="41"/>
      <c r="K118" s="41"/>
      <c r="L118" s="41"/>
      <c r="M118" s="31"/>
      <c r="N118" s="41"/>
      <c r="O118" s="41"/>
      <c r="P118" s="41"/>
    </row>
    <row r="119" spans="1:41" s="7" customFormat="1" ht="19.5" customHeight="1" hidden="1">
      <c r="A119" s="16"/>
      <c r="C119" s="7" t="s">
        <v>36</v>
      </c>
      <c r="D119" s="51">
        <f aca="true" t="shared" si="82" ref="D119:Q119">D$51</f>
        <v>0.1</v>
      </c>
      <c r="E119" s="51">
        <f t="shared" si="82"/>
        <v>0.1</v>
      </c>
      <c r="F119" s="51">
        <f t="shared" si="82"/>
        <v>0.1</v>
      </c>
      <c r="G119" s="51">
        <f t="shared" si="82"/>
        <v>0.1</v>
      </c>
      <c r="H119" s="51">
        <f t="shared" si="82"/>
        <v>0.1</v>
      </c>
      <c r="I119" s="51">
        <f t="shared" si="82"/>
        <v>0.1</v>
      </c>
      <c r="J119" s="51">
        <f t="shared" si="82"/>
        <v>0.1</v>
      </c>
      <c r="K119" s="51">
        <f t="shared" si="82"/>
        <v>0.1</v>
      </c>
      <c r="L119" s="51">
        <f t="shared" si="82"/>
        <v>0.1</v>
      </c>
      <c r="M119" s="51">
        <f t="shared" si="82"/>
        <v>0.1</v>
      </c>
      <c r="N119" s="51">
        <f t="shared" si="82"/>
        <v>0.1</v>
      </c>
      <c r="O119" s="51">
        <f t="shared" si="82"/>
        <v>0.1</v>
      </c>
      <c r="P119" s="51">
        <f t="shared" si="82"/>
        <v>0.1</v>
      </c>
      <c r="Q119" s="51">
        <f t="shared" si="82"/>
        <v>0.1</v>
      </c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</row>
    <row r="120" spans="1:17" ht="19.5" customHeight="1" hidden="1">
      <c r="A120" s="16"/>
      <c r="C120" s="21" t="s">
        <v>58</v>
      </c>
      <c r="D120" s="12">
        <v>1</v>
      </c>
      <c r="E120" s="12">
        <f>1/(1+D119)</f>
        <v>0.9090909090909091</v>
      </c>
      <c r="F120" s="12">
        <f aca="true" t="shared" si="83" ref="F120:Q120">E120/(1+E119)</f>
        <v>0.8264462809917354</v>
      </c>
      <c r="G120" s="98">
        <f t="shared" si="83"/>
        <v>0.7513148009015777</v>
      </c>
      <c r="H120" s="12">
        <f t="shared" si="83"/>
        <v>0.6830134553650705</v>
      </c>
      <c r="I120" s="12">
        <f t="shared" si="83"/>
        <v>0.6209213230591549</v>
      </c>
      <c r="J120" s="12">
        <f t="shared" si="83"/>
        <v>0.5644739300537771</v>
      </c>
      <c r="K120" s="12">
        <f t="shared" si="83"/>
        <v>0.5131581182307065</v>
      </c>
      <c r="L120" s="12">
        <f t="shared" si="83"/>
        <v>0.4665073802097331</v>
      </c>
      <c r="M120" s="98">
        <f t="shared" si="83"/>
        <v>0.4240976183724846</v>
      </c>
      <c r="N120" s="12">
        <f t="shared" si="83"/>
        <v>0.3855432894295314</v>
      </c>
      <c r="O120" s="12">
        <f t="shared" si="83"/>
        <v>0.35049389948139215</v>
      </c>
      <c r="P120" s="12">
        <f t="shared" si="83"/>
        <v>0.31863081771035645</v>
      </c>
      <c r="Q120" s="12">
        <f t="shared" si="83"/>
        <v>0.2896643797366877</v>
      </c>
    </row>
    <row r="121" spans="1:17" ht="19.5" customHeight="1" hidden="1">
      <c r="A121" s="45"/>
      <c r="B121" s="42"/>
      <c r="C121" s="42" t="s">
        <v>31</v>
      </c>
      <c r="D121" s="42"/>
      <c r="E121" s="42">
        <f aca="true" t="shared" si="84" ref="E121:P121">E111</f>
        <v>295.5</v>
      </c>
      <c r="F121" s="42">
        <f t="shared" si="84"/>
        <v>159.50000000000003</v>
      </c>
      <c r="G121" s="99">
        <f t="shared" si="84"/>
        <v>468.50000000000006</v>
      </c>
      <c r="H121" s="42">
        <f t="shared" si="84"/>
        <v>501.1500000000001</v>
      </c>
      <c r="I121" s="42">
        <f t="shared" si="84"/>
        <v>511.17299999999994</v>
      </c>
      <c r="J121" s="42">
        <f t="shared" si="84"/>
        <v>521.3964600000004</v>
      </c>
      <c r="K121" s="42">
        <f t="shared" si="84"/>
        <v>531.8243892</v>
      </c>
      <c r="L121" s="42">
        <f t="shared" si="84"/>
        <v>542.4608769839997</v>
      </c>
      <c r="M121" s="99">
        <f t="shared" si="84"/>
        <v>553.3100945236804</v>
      </c>
      <c r="N121" s="42">
        <f t="shared" si="84"/>
        <v>564.3762964141538</v>
      </c>
      <c r="O121" s="42">
        <f t="shared" si="84"/>
        <v>575.6638223424374</v>
      </c>
      <c r="P121" s="42">
        <f t="shared" si="84"/>
        <v>587.177098789285</v>
      </c>
      <c r="Q121" s="1">
        <f>P121*(1+O$5)+P121*(1+O$5)*(1+O$5)/(P119-O$5)</f>
        <v>8235.15881051972</v>
      </c>
    </row>
    <row r="122" spans="1:17" ht="19.5" customHeight="1" hidden="1">
      <c r="A122" s="16"/>
      <c r="C122" s="21" t="s">
        <v>38</v>
      </c>
      <c r="D122" s="1"/>
      <c r="E122" s="1">
        <f aca="true" t="shared" si="85" ref="E122:Q122">E121*E120</f>
        <v>268.6363636363636</v>
      </c>
      <c r="F122" s="1">
        <f t="shared" si="85"/>
        <v>131.81818181818184</v>
      </c>
      <c r="G122" s="29">
        <f t="shared" si="85"/>
        <v>351.99098422238916</v>
      </c>
      <c r="H122" s="1">
        <f t="shared" si="85"/>
        <v>342.29219315620514</v>
      </c>
      <c r="I122" s="1">
        <f t="shared" si="85"/>
        <v>317.3982154721174</v>
      </c>
      <c r="J122" s="1">
        <f t="shared" si="85"/>
        <v>294.3147088923272</v>
      </c>
      <c r="K122" s="1">
        <f t="shared" si="85"/>
        <v>272.91000279106686</v>
      </c>
      <c r="L122" s="1">
        <f t="shared" si="85"/>
        <v>253.06200258808</v>
      </c>
      <c r="M122" s="29">
        <f t="shared" si="85"/>
        <v>234.65749330894718</v>
      </c>
      <c r="N122" s="1">
        <f t="shared" si="85"/>
        <v>217.5914937955691</v>
      </c>
      <c r="O122" s="1">
        <f t="shared" si="85"/>
        <v>201.7666578831642</v>
      </c>
      <c r="P122" s="1">
        <f t="shared" si="85"/>
        <v>187.0927191280246</v>
      </c>
      <c r="Q122" s="1">
        <f t="shared" si="85"/>
        <v>2385.432168882314</v>
      </c>
    </row>
    <row r="123" spans="1:17" ht="19.5" customHeight="1">
      <c r="A123" s="16"/>
      <c r="B123" s="4" t="s">
        <v>80</v>
      </c>
      <c r="C123" s="42" t="s">
        <v>81</v>
      </c>
      <c r="D123" s="18">
        <f>SUM(E122:$Q122)/D120</f>
        <v>5458.96318557475</v>
      </c>
      <c r="E123" s="18">
        <f>SUM(F122:$Q122)/E120</f>
        <v>5709.359504132225</v>
      </c>
      <c r="F123" s="18">
        <f>SUM(G122:$Q122)/F120</f>
        <v>6120.795454545448</v>
      </c>
      <c r="G123" s="91">
        <f>SUM(H122:$Q122)/G120</f>
        <v>6264.374999999994</v>
      </c>
      <c r="H123" s="18">
        <f>SUM(I122:$Q122)/H120</f>
        <v>6389.662499999993</v>
      </c>
      <c r="I123" s="18">
        <f>SUM(J122:$Q122)/I120</f>
        <v>6517.455749999993</v>
      </c>
      <c r="J123" s="18">
        <f>SUM(K122:$Q122)/J120</f>
        <v>6647.804864999994</v>
      </c>
      <c r="K123" s="18">
        <f>SUM(L122:$Q122)/K120</f>
        <v>6780.7609622999935</v>
      </c>
      <c r="L123" s="18">
        <f>SUM(M122:$Q122)/L120</f>
        <v>6916.376181545994</v>
      </c>
      <c r="M123" s="91">
        <f>SUM(N122:$Q122)/M120</f>
        <v>7054.703705176913</v>
      </c>
      <c r="N123" s="18">
        <f>SUM(O122:$Q122)/N120</f>
        <v>7195.797779280451</v>
      </c>
      <c r="O123" s="18">
        <f>SUM(P122:$Q122)/O120</f>
        <v>7339.713734866062</v>
      </c>
      <c r="P123" s="18">
        <f>SUM(Q122:$Q122)/P120</f>
        <v>7486.508009563383</v>
      </c>
      <c r="Q123" s="18"/>
    </row>
    <row r="124" spans="1:17" ht="12.75" customHeight="1">
      <c r="A124" s="16"/>
      <c r="B124" s="4" t="s">
        <v>48</v>
      </c>
      <c r="C124" s="39" t="s">
        <v>82</v>
      </c>
      <c r="D124" s="38">
        <f aca="true" t="shared" si="86" ref="D124:P124">D123-D$62</f>
        <v>3958.963185574752</v>
      </c>
      <c r="E124" s="38">
        <f t="shared" si="86"/>
        <v>4209.359504132227</v>
      </c>
      <c r="F124" s="38">
        <f t="shared" si="86"/>
        <v>4620.7954545454495</v>
      </c>
      <c r="G124" s="38">
        <f t="shared" si="86"/>
        <v>4764.374999999995</v>
      </c>
      <c r="H124" s="38">
        <f t="shared" si="86"/>
        <v>4859.662499999995</v>
      </c>
      <c r="I124" s="38">
        <f t="shared" si="86"/>
        <v>4956.855749999994</v>
      </c>
      <c r="J124" s="38">
        <f t="shared" si="86"/>
        <v>5055.992864999996</v>
      </c>
      <c r="K124" s="38">
        <f t="shared" si="86"/>
        <v>5157.112722299995</v>
      </c>
      <c r="L124" s="38">
        <f t="shared" si="86"/>
        <v>5260.254976745996</v>
      </c>
      <c r="M124" s="38">
        <f t="shared" si="86"/>
        <v>5365.460076280915</v>
      </c>
      <c r="N124" s="38">
        <f t="shared" si="86"/>
        <v>5472.769277806533</v>
      </c>
      <c r="O124" s="38">
        <f t="shared" si="86"/>
        <v>5582.224663362665</v>
      </c>
      <c r="P124" s="38">
        <f t="shared" si="86"/>
        <v>5693.8691566299185</v>
      </c>
      <c r="Q124" s="20"/>
    </row>
    <row r="125" spans="1:17" ht="12.75" customHeight="1">
      <c r="A125" s="16"/>
      <c r="C125" s="56"/>
      <c r="D125" s="57"/>
      <c r="E125" s="57"/>
      <c r="F125" s="116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88"/>
    </row>
    <row r="126" spans="1:41" s="7" customFormat="1" ht="12" customHeight="1">
      <c r="A126" s="45"/>
      <c r="B126" s="39"/>
      <c r="C126" s="39" t="s">
        <v>87</v>
      </c>
      <c r="D126" s="39"/>
      <c r="E126" s="59">
        <f aca="true" t="shared" si="87" ref="E126:Q126">E$41-D123*(D82-D$49)</f>
        <v>77.14147257700986</v>
      </c>
      <c r="F126" s="59">
        <f t="shared" si="87"/>
        <v>-68.8743801652891</v>
      </c>
      <c r="G126" s="59">
        <f t="shared" si="87"/>
        <v>223.66818181818203</v>
      </c>
      <c r="H126" s="59">
        <f t="shared" si="87"/>
        <v>250.57500000000024</v>
      </c>
      <c r="I126" s="59">
        <f t="shared" si="87"/>
        <v>255.58650000000011</v>
      </c>
      <c r="J126" s="59">
        <f t="shared" si="87"/>
        <v>260.69823000000054</v>
      </c>
      <c r="K126" s="59">
        <f t="shared" si="87"/>
        <v>265.9121946000002</v>
      </c>
      <c r="L126" s="59">
        <f t="shared" si="87"/>
        <v>271.23043849199985</v>
      </c>
      <c r="M126" s="59">
        <f t="shared" si="87"/>
        <v>276.65504726184054</v>
      </c>
      <c r="N126" s="59">
        <f t="shared" si="87"/>
        <v>282.18814820707723</v>
      </c>
      <c r="O126" s="59">
        <f t="shared" si="87"/>
        <v>287.8319111712192</v>
      </c>
      <c r="P126" s="59">
        <f t="shared" si="87"/>
        <v>293.58854939464237</v>
      </c>
      <c r="Q126" s="59">
        <f t="shared" si="87"/>
        <v>299.4603203825353</v>
      </c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</row>
    <row r="127" spans="1:17" ht="12" customHeight="1">
      <c r="A127" s="45"/>
      <c r="B127" s="42"/>
      <c r="C127" s="39" t="s">
        <v>86</v>
      </c>
      <c r="D127" s="42"/>
      <c r="E127" s="59">
        <f aca="true" t="shared" si="88" ref="E127:Q127">E$40-D124*(D75-D$49)</f>
        <v>-12.85852742299005</v>
      </c>
      <c r="F127" s="59">
        <f t="shared" si="88"/>
        <v>-158.87438016528907</v>
      </c>
      <c r="G127" s="59">
        <f t="shared" si="88"/>
        <v>133.66818181818206</v>
      </c>
      <c r="H127" s="59">
        <f t="shared" si="88"/>
        <v>190.57500000000036</v>
      </c>
      <c r="I127" s="59">
        <f t="shared" si="88"/>
        <v>194.3865000000003</v>
      </c>
      <c r="J127" s="59">
        <f t="shared" si="88"/>
        <v>198.27423000000047</v>
      </c>
      <c r="K127" s="59">
        <f t="shared" si="88"/>
        <v>202.23971460000024</v>
      </c>
      <c r="L127" s="59">
        <f t="shared" si="88"/>
        <v>206.28450889199988</v>
      </c>
      <c r="M127" s="59">
        <f t="shared" si="88"/>
        <v>210.41019906984053</v>
      </c>
      <c r="N127" s="59">
        <f t="shared" si="88"/>
        <v>214.6184030512372</v>
      </c>
      <c r="O127" s="59">
        <f t="shared" si="88"/>
        <v>218.91077111226252</v>
      </c>
      <c r="P127" s="59">
        <f t="shared" si="88"/>
        <v>223.28898653450656</v>
      </c>
      <c r="Q127" s="59">
        <f t="shared" si="88"/>
        <v>227.75476626519657</v>
      </c>
    </row>
    <row r="128" spans="1:16" ht="15" customHeight="1">
      <c r="A128" s="16"/>
      <c r="B128" s="104"/>
      <c r="C128" s="92"/>
      <c r="D128" s="105"/>
      <c r="E128" s="105"/>
      <c r="F128" s="105"/>
      <c r="G128" s="50"/>
      <c r="H128" s="105"/>
      <c r="I128" s="105"/>
      <c r="J128" s="43"/>
      <c r="K128" s="43"/>
      <c r="L128" s="43"/>
      <c r="M128" s="102"/>
      <c r="N128" s="43"/>
      <c r="O128" s="43"/>
      <c r="P128" s="43"/>
    </row>
    <row r="129" spans="1:17" ht="15" customHeight="1" hidden="1">
      <c r="A129" s="16"/>
      <c r="B129" s="104"/>
      <c r="C129" s="4" t="s">
        <v>2</v>
      </c>
      <c r="D129" s="105">
        <f aca="true" t="shared" si="89" ref="D129:P129">D$49</f>
        <v>0.06</v>
      </c>
      <c r="E129" s="105">
        <f t="shared" si="89"/>
        <v>0.06</v>
      </c>
      <c r="F129" s="105">
        <f t="shared" si="89"/>
        <v>0.06</v>
      </c>
      <c r="G129" s="105">
        <f t="shared" si="89"/>
        <v>0.06</v>
      </c>
      <c r="H129" s="105">
        <f t="shared" si="89"/>
        <v>0.06</v>
      </c>
      <c r="I129" s="105">
        <f t="shared" si="89"/>
        <v>0.06</v>
      </c>
      <c r="J129" s="105">
        <f t="shared" si="89"/>
        <v>0.06</v>
      </c>
      <c r="K129" s="105">
        <f t="shared" si="89"/>
        <v>0.06</v>
      </c>
      <c r="L129" s="105">
        <f t="shared" si="89"/>
        <v>0.06</v>
      </c>
      <c r="M129" s="105">
        <f t="shared" si="89"/>
        <v>0.06</v>
      </c>
      <c r="N129" s="105">
        <f t="shared" si="89"/>
        <v>0.06</v>
      </c>
      <c r="O129" s="105">
        <f t="shared" si="89"/>
        <v>0.06</v>
      </c>
      <c r="P129" s="105">
        <f t="shared" si="89"/>
        <v>0.06</v>
      </c>
      <c r="Q129" s="49">
        <f>P129</f>
        <v>0.06</v>
      </c>
    </row>
    <row r="130" spans="1:17" ht="15" customHeight="1" hidden="1">
      <c r="A130" s="16"/>
      <c r="C130" s="158" t="s">
        <v>91</v>
      </c>
      <c r="D130" s="12">
        <v>1</v>
      </c>
      <c r="E130" s="12">
        <f>1/(1+D129)</f>
        <v>0.9433962264150942</v>
      </c>
      <c r="F130" s="12">
        <f aca="true" t="shared" si="90" ref="F130:Q130">E130/(1+E129)</f>
        <v>0.8899964400142398</v>
      </c>
      <c r="G130" s="98">
        <f t="shared" si="90"/>
        <v>0.8396192830323017</v>
      </c>
      <c r="H130" s="12">
        <f t="shared" si="90"/>
        <v>0.7920936632380204</v>
      </c>
      <c r="I130" s="12">
        <f t="shared" si="90"/>
        <v>0.747258172866057</v>
      </c>
      <c r="J130" s="12">
        <f t="shared" si="90"/>
        <v>0.7049605404396764</v>
      </c>
      <c r="K130" s="12">
        <f t="shared" si="90"/>
        <v>0.6650571136223362</v>
      </c>
      <c r="L130" s="12">
        <f t="shared" si="90"/>
        <v>0.6274123713418266</v>
      </c>
      <c r="M130" s="98">
        <f t="shared" si="90"/>
        <v>0.5918984635300251</v>
      </c>
      <c r="N130" s="12">
        <f t="shared" si="90"/>
        <v>0.558394776915118</v>
      </c>
      <c r="O130" s="12">
        <f t="shared" si="90"/>
        <v>0.5267875253916207</v>
      </c>
      <c r="P130" s="12">
        <f t="shared" si="90"/>
        <v>0.4969693635770006</v>
      </c>
      <c r="Q130" s="12">
        <f t="shared" si="90"/>
        <v>0.4688390222424534</v>
      </c>
    </row>
    <row r="131" spans="1:17" ht="15" customHeight="1" hidden="1">
      <c r="A131" s="45"/>
      <c r="B131" s="42"/>
      <c r="C131" s="39" t="s">
        <v>87</v>
      </c>
      <c r="D131" s="42"/>
      <c r="E131" s="23">
        <f>E126</f>
        <v>77.14147257700986</v>
      </c>
      <c r="F131" s="23">
        <f aca="true" t="shared" si="91" ref="F131:P131">F126</f>
        <v>-68.8743801652891</v>
      </c>
      <c r="G131" s="23">
        <f t="shared" si="91"/>
        <v>223.66818181818203</v>
      </c>
      <c r="H131" s="23">
        <f t="shared" si="91"/>
        <v>250.57500000000024</v>
      </c>
      <c r="I131" s="23">
        <f t="shared" si="91"/>
        <v>255.58650000000011</v>
      </c>
      <c r="J131" s="23">
        <f t="shared" si="91"/>
        <v>260.69823000000054</v>
      </c>
      <c r="K131" s="23">
        <f t="shared" si="91"/>
        <v>265.9121946000002</v>
      </c>
      <c r="L131" s="23">
        <f t="shared" si="91"/>
        <v>271.23043849199985</v>
      </c>
      <c r="M131" s="23">
        <f t="shared" si="91"/>
        <v>276.65504726184054</v>
      </c>
      <c r="N131" s="23">
        <f t="shared" si="91"/>
        <v>282.18814820707723</v>
      </c>
      <c r="O131" s="23">
        <f t="shared" si="91"/>
        <v>287.8319111712192</v>
      </c>
      <c r="P131" s="23">
        <f t="shared" si="91"/>
        <v>293.58854939464237</v>
      </c>
      <c r="Q131" s="1">
        <f>P131*(1+O$5)+P131*(1+O$5)*(1+O$5)/(P129-O$5)</f>
        <v>7935.698490137185</v>
      </c>
    </row>
    <row r="132" spans="1:17" ht="15" customHeight="1" hidden="1">
      <c r="A132" s="16"/>
      <c r="C132" s="21" t="s">
        <v>38</v>
      </c>
      <c r="D132" s="1"/>
      <c r="E132" s="1">
        <f aca="true" t="shared" si="92" ref="E132:Q132">E131*E130</f>
        <v>72.77497412925459</v>
      </c>
      <c r="F132" s="1">
        <f t="shared" si="92"/>
        <v>-61.297953155294664</v>
      </c>
      <c r="G132" s="29">
        <f t="shared" si="92"/>
        <v>187.7961184553205</v>
      </c>
      <c r="H132" s="1">
        <f t="shared" si="92"/>
        <v>198.47886966586717</v>
      </c>
      <c r="I132" s="1">
        <f t="shared" si="92"/>
        <v>190.98910099923057</v>
      </c>
      <c r="J132" s="1">
        <f t="shared" si="92"/>
        <v>183.78196511246742</v>
      </c>
      <c r="K132" s="1">
        <f t="shared" si="92"/>
        <v>176.8467966176571</v>
      </c>
      <c r="L132" s="1">
        <f t="shared" si="92"/>
        <v>170.17333259434906</v>
      </c>
      <c r="M132" s="29">
        <f t="shared" si="92"/>
        <v>163.75169740210987</v>
      </c>
      <c r="N132" s="1">
        <f t="shared" si="92"/>
        <v>157.57238806618113</v>
      </c>
      <c r="O132" s="1">
        <f t="shared" si="92"/>
        <v>151.62626021462734</v>
      </c>
      <c r="P132" s="1">
        <f t="shared" si="92"/>
        <v>145.90451454615024</v>
      </c>
      <c r="Q132" s="1">
        <f t="shared" si="92"/>
        <v>3720.5651209268317</v>
      </c>
    </row>
    <row r="133" spans="1:16" ht="15" customHeight="1">
      <c r="A133" s="16"/>
      <c r="B133" s="157" t="s">
        <v>89</v>
      </c>
      <c r="C133" s="156" t="s">
        <v>88</v>
      </c>
      <c r="D133" s="18">
        <f>SUM(E132:$Q132)/D130</f>
        <v>5458.963185574752</v>
      </c>
      <c r="E133" s="18">
        <f>SUM(F132:$Q132)/E130</f>
        <v>5709.359504132228</v>
      </c>
      <c r="F133" s="18">
        <f>SUM(G132:$Q132)/F130</f>
        <v>6120.79545454545</v>
      </c>
      <c r="G133" s="91">
        <f>SUM(H132:$Q132)/G130</f>
        <v>6264.374999999995</v>
      </c>
      <c r="H133" s="18">
        <f>SUM(I132:$Q132)/H130</f>
        <v>6389.662499999996</v>
      </c>
      <c r="I133" s="18">
        <f>SUM(J132:$Q132)/I130</f>
        <v>6517.4557499999955</v>
      </c>
      <c r="J133" s="18">
        <f>SUM(K132:$Q132)/J130</f>
        <v>6647.8048649999955</v>
      </c>
      <c r="K133" s="18">
        <f>SUM(L132:$Q132)/K130</f>
        <v>6780.7609622999935</v>
      </c>
      <c r="L133" s="18">
        <f>SUM(M132:$Q132)/L130</f>
        <v>6916.376181545995</v>
      </c>
      <c r="M133" s="91">
        <f>SUM(N132:$Q132)/M130</f>
        <v>7054.703705176914</v>
      </c>
      <c r="N133" s="18">
        <f>SUM(O132:$Q132)/N130</f>
        <v>7195.797779280452</v>
      </c>
      <c r="O133" s="18">
        <f>SUM(P132:$Q132)/O130</f>
        <v>7339.713734866061</v>
      </c>
      <c r="P133" s="18">
        <f>SUM(Q132:$Q132)/P130</f>
        <v>7486.508009563382</v>
      </c>
    </row>
    <row r="134" spans="1:16" ht="15" customHeight="1">
      <c r="A134" s="16"/>
      <c r="B134" s="4" t="s">
        <v>48</v>
      </c>
      <c r="C134" s="39" t="s">
        <v>90</v>
      </c>
      <c r="D134" s="38">
        <f aca="true" t="shared" si="93" ref="D134:P134">D133-D$62</f>
        <v>3958.963185574754</v>
      </c>
      <c r="E134" s="38">
        <f t="shared" si="93"/>
        <v>4209.35950413223</v>
      </c>
      <c r="F134" s="38">
        <f t="shared" si="93"/>
        <v>4620.795454545452</v>
      </c>
      <c r="G134" s="38">
        <f t="shared" si="93"/>
        <v>4764.374999999997</v>
      </c>
      <c r="H134" s="38">
        <f t="shared" si="93"/>
        <v>4859.662499999998</v>
      </c>
      <c r="I134" s="38">
        <f t="shared" si="93"/>
        <v>4956.855749999997</v>
      </c>
      <c r="J134" s="38">
        <f t="shared" si="93"/>
        <v>5055.992864999997</v>
      </c>
      <c r="K134" s="38">
        <f t="shared" si="93"/>
        <v>5157.112722299995</v>
      </c>
      <c r="L134" s="38">
        <f t="shared" si="93"/>
        <v>5260.254976745997</v>
      </c>
      <c r="M134" s="38">
        <f t="shared" si="93"/>
        <v>5365.460076280915</v>
      </c>
      <c r="N134" s="38">
        <f t="shared" si="93"/>
        <v>5472.769277806534</v>
      </c>
      <c r="O134" s="38">
        <f t="shared" si="93"/>
        <v>5582.224663362664</v>
      </c>
      <c r="P134" s="38">
        <f t="shared" si="93"/>
        <v>5693.869156629917</v>
      </c>
    </row>
    <row r="135" spans="1:16" ht="15" customHeight="1">
      <c r="A135" s="16"/>
      <c r="B135" s="104"/>
      <c r="C135" s="92"/>
      <c r="D135" s="105"/>
      <c r="E135" s="105"/>
      <c r="F135" s="105"/>
      <c r="G135" s="50"/>
      <c r="H135" s="105"/>
      <c r="I135" s="105"/>
      <c r="J135" s="43"/>
      <c r="K135" s="43"/>
      <c r="L135" s="43"/>
      <c r="M135" s="102"/>
      <c r="N135" s="43"/>
      <c r="O135" s="43"/>
      <c r="P135" s="43"/>
    </row>
    <row r="136" spans="1:17" ht="15" customHeight="1" hidden="1">
      <c r="A136" s="16"/>
      <c r="B136" s="104"/>
      <c r="C136" s="4" t="s">
        <v>2</v>
      </c>
      <c r="D136" s="105">
        <f aca="true" t="shared" si="94" ref="D136:P136">D$49</f>
        <v>0.06</v>
      </c>
      <c r="E136" s="105">
        <f t="shared" si="94"/>
        <v>0.06</v>
      </c>
      <c r="F136" s="105">
        <f t="shared" si="94"/>
        <v>0.06</v>
      </c>
      <c r="G136" s="105">
        <f t="shared" si="94"/>
        <v>0.06</v>
      </c>
      <c r="H136" s="105">
        <f t="shared" si="94"/>
        <v>0.06</v>
      </c>
      <c r="I136" s="105">
        <f t="shared" si="94"/>
        <v>0.06</v>
      </c>
      <c r="J136" s="105">
        <f t="shared" si="94"/>
        <v>0.06</v>
      </c>
      <c r="K136" s="105">
        <f t="shared" si="94"/>
        <v>0.06</v>
      </c>
      <c r="L136" s="105">
        <f t="shared" si="94"/>
        <v>0.06</v>
      </c>
      <c r="M136" s="105">
        <f t="shared" si="94"/>
        <v>0.06</v>
      </c>
      <c r="N136" s="105">
        <f t="shared" si="94"/>
        <v>0.06</v>
      </c>
      <c r="O136" s="105">
        <f t="shared" si="94"/>
        <v>0.06</v>
      </c>
      <c r="P136" s="105">
        <f t="shared" si="94"/>
        <v>0.06</v>
      </c>
      <c r="Q136" s="49">
        <f>P136</f>
        <v>0.06</v>
      </c>
    </row>
    <row r="137" spans="1:17" ht="15" customHeight="1" hidden="1">
      <c r="A137" s="16"/>
      <c r="C137" s="158" t="s">
        <v>91</v>
      </c>
      <c r="D137" s="12">
        <v>1</v>
      </c>
      <c r="E137" s="12">
        <f>1/(1+D136)</f>
        <v>0.9433962264150942</v>
      </c>
      <c r="F137" s="12">
        <f aca="true" t="shared" si="95" ref="F137:Q137">E137/(1+E136)</f>
        <v>0.8899964400142398</v>
      </c>
      <c r="G137" s="98">
        <f t="shared" si="95"/>
        <v>0.8396192830323017</v>
      </c>
      <c r="H137" s="12">
        <f t="shared" si="95"/>
        <v>0.7920936632380204</v>
      </c>
      <c r="I137" s="12">
        <f t="shared" si="95"/>
        <v>0.747258172866057</v>
      </c>
      <c r="J137" s="12">
        <f t="shared" si="95"/>
        <v>0.7049605404396764</v>
      </c>
      <c r="K137" s="12">
        <f t="shared" si="95"/>
        <v>0.6650571136223362</v>
      </c>
      <c r="L137" s="12">
        <f t="shared" si="95"/>
        <v>0.6274123713418266</v>
      </c>
      <c r="M137" s="98">
        <f t="shared" si="95"/>
        <v>0.5918984635300251</v>
      </c>
      <c r="N137" s="12">
        <f t="shared" si="95"/>
        <v>0.558394776915118</v>
      </c>
      <c r="O137" s="12">
        <f t="shared" si="95"/>
        <v>0.5267875253916207</v>
      </c>
      <c r="P137" s="12">
        <f t="shared" si="95"/>
        <v>0.4969693635770006</v>
      </c>
      <c r="Q137" s="12">
        <f t="shared" si="95"/>
        <v>0.4688390222424534</v>
      </c>
    </row>
    <row r="138" spans="1:17" ht="15" customHeight="1" hidden="1">
      <c r="A138" s="45"/>
      <c r="B138" s="42"/>
      <c r="C138" s="39" t="s">
        <v>86</v>
      </c>
      <c r="D138" s="42"/>
      <c r="E138" s="23">
        <f>E127</f>
        <v>-12.85852742299005</v>
      </c>
      <c r="F138" s="23">
        <f aca="true" t="shared" si="96" ref="F138:P138">F127</f>
        <v>-158.87438016528907</v>
      </c>
      <c r="G138" s="23">
        <f t="shared" si="96"/>
        <v>133.66818181818206</v>
      </c>
      <c r="H138" s="23">
        <f t="shared" si="96"/>
        <v>190.57500000000036</v>
      </c>
      <c r="I138" s="23">
        <f t="shared" si="96"/>
        <v>194.3865000000003</v>
      </c>
      <c r="J138" s="23">
        <f t="shared" si="96"/>
        <v>198.27423000000047</v>
      </c>
      <c r="K138" s="23">
        <f t="shared" si="96"/>
        <v>202.23971460000024</v>
      </c>
      <c r="L138" s="23">
        <f t="shared" si="96"/>
        <v>206.28450889199988</v>
      </c>
      <c r="M138" s="23">
        <f t="shared" si="96"/>
        <v>210.41019906984053</v>
      </c>
      <c r="N138" s="23">
        <f t="shared" si="96"/>
        <v>214.6184030512372</v>
      </c>
      <c r="O138" s="23">
        <f t="shared" si="96"/>
        <v>218.91077111226252</v>
      </c>
      <c r="P138" s="23">
        <f t="shared" si="96"/>
        <v>223.28898653450656</v>
      </c>
      <c r="Q138" s="1">
        <f>P138*(1+O$5)+P138*(1+O$5)*(1+O$5)/(P136-O$5)</f>
        <v>6035.501306027714</v>
      </c>
    </row>
    <row r="139" spans="1:17" ht="15" customHeight="1" hidden="1">
      <c r="A139" s="16"/>
      <c r="C139" s="158" t="s">
        <v>54</v>
      </c>
      <c r="D139" s="1"/>
      <c r="E139" s="1">
        <f aca="true" t="shared" si="97" ref="E139:Q139">E138*E137</f>
        <v>-12.130686248103821</v>
      </c>
      <c r="F139" s="1">
        <f t="shared" si="97"/>
        <v>-141.39763275657623</v>
      </c>
      <c r="G139" s="29">
        <f t="shared" si="97"/>
        <v>112.23038298241337</v>
      </c>
      <c r="H139" s="1">
        <f t="shared" si="97"/>
        <v>150.95324987158602</v>
      </c>
      <c r="I139" s="1">
        <f t="shared" si="97"/>
        <v>145.25690081982802</v>
      </c>
      <c r="J139" s="1">
        <f t="shared" si="97"/>
        <v>139.77550833606102</v>
      </c>
      <c r="K139" s="1">
        <f t="shared" si="97"/>
        <v>134.5009608516812</v>
      </c>
      <c r="L139" s="1">
        <f t="shared" si="97"/>
        <v>129.42545289501376</v>
      </c>
      <c r="M139" s="29">
        <f t="shared" si="97"/>
        <v>124.54147354048531</v>
      </c>
      <c r="N139" s="1">
        <f t="shared" si="97"/>
        <v>119.84179529367448</v>
      </c>
      <c r="O139" s="1">
        <f t="shared" si="97"/>
        <v>115.31946339580026</v>
      </c>
      <c r="P139" s="1">
        <f t="shared" si="97"/>
        <v>110.96778553180718</v>
      </c>
      <c r="Q139" s="1">
        <f t="shared" si="97"/>
        <v>2829.678531061084</v>
      </c>
    </row>
    <row r="140" spans="1:16" ht="15" customHeight="1">
      <c r="A140" s="16"/>
      <c r="B140" s="157"/>
      <c r="C140" s="156" t="s">
        <v>92</v>
      </c>
      <c r="D140" s="52">
        <f>SUM(E139:$Q139)/D137</f>
        <v>3958.963185574755</v>
      </c>
      <c r="E140" s="52">
        <f>SUM(F139:$Q139)/E137</f>
        <v>4209.3595041322305</v>
      </c>
      <c r="F140" s="52">
        <f>SUM(G139:$Q139)/F137</f>
        <v>4620.795454545454</v>
      </c>
      <c r="G140" s="159">
        <f>SUM(H139:$Q139)/G137</f>
        <v>4764.374999999999</v>
      </c>
      <c r="H140" s="52">
        <f>SUM(I139:$Q139)/H137</f>
        <v>4859.6624999999985</v>
      </c>
      <c r="I140" s="52">
        <f>SUM(J139:$Q139)/I137</f>
        <v>4956.855749999998</v>
      </c>
      <c r="J140" s="52">
        <f>SUM(K139:$Q139)/J137</f>
        <v>5055.992864999997</v>
      </c>
      <c r="K140" s="52">
        <f>SUM(L139:$Q139)/K137</f>
        <v>5157.112722299998</v>
      </c>
      <c r="L140" s="52">
        <f>SUM(M139:$Q139)/L137</f>
        <v>5260.254976745998</v>
      </c>
      <c r="M140" s="159">
        <f>SUM(N139:$Q139)/M137</f>
        <v>5365.460076280918</v>
      </c>
      <c r="N140" s="52">
        <f>SUM(O139:$Q139)/N137</f>
        <v>5472.769277806535</v>
      </c>
      <c r="O140" s="52">
        <f>SUM(P139:$Q139)/O137</f>
        <v>5582.2246633626655</v>
      </c>
      <c r="P140" s="52">
        <f>SUM(Q139:$Q139)/P137</f>
        <v>5693.8691566299185</v>
      </c>
    </row>
    <row r="141" spans="1:16" ht="12.75" customHeight="1">
      <c r="A141" s="16"/>
      <c r="B141" s="104"/>
      <c r="C141" s="92"/>
      <c r="D141" s="6">
        <f>(D140+D134+D124+D117+D108+D103+D95+D87+D79+D71)/10</f>
        <v>3958.963185574756</v>
      </c>
      <c r="E141" s="105"/>
      <c r="F141" s="105"/>
      <c r="G141" s="50"/>
      <c r="H141" s="105"/>
      <c r="I141" s="105"/>
      <c r="J141" s="43"/>
      <c r="K141" s="43"/>
      <c r="L141" s="43"/>
      <c r="M141" s="102"/>
      <c r="N141" s="43"/>
      <c r="O141" s="43"/>
      <c r="P141" s="43"/>
    </row>
    <row r="142" spans="1:17" ht="12.75" customHeight="1">
      <c r="A142" s="16"/>
      <c r="B142" s="104" t="s">
        <v>95</v>
      </c>
      <c r="C142" s="104" t="s">
        <v>95</v>
      </c>
      <c r="D142" s="104" t="s">
        <v>95</v>
      </c>
      <c r="E142" s="104" t="s">
        <v>95</v>
      </c>
      <c r="F142" s="104" t="s">
        <v>95</v>
      </c>
      <c r="G142" s="104" t="s">
        <v>95</v>
      </c>
      <c r="H142" s="104" t="s">
        <v>95</v>
      </c>
      <c r="I142" s="104" t="s">
        <v>95</v>
      </c>
      <c r="J142" s="104" t="s">
        <v>95</v>
      </c>
      <c r="K142" s="104" t="s">
        <v>95</v>
      </c>
      <c r="L142" s="104" t="s">
        <v>95</v>
      </c>
      <c r="M142" s="104" t="s">
        <v>95</v>
      </c>
      <c r="N142" s="104" t="s">
        <v>95</v>
      </c>
      <c r="O142" s="104" t="s">
        <v>95</v>
      </c>
      <c r="P142" s="104" t="s">
        <v>95</v>
      </c>
      <c r="Q142" s="104" t="s">
        <v>95</v>
      </c>
    </row>
    <row r="143" spans="1:16" ht="12.75" customHeight="1">
      <c r="A143" s="16"/>
      <c r="B143" s="104"/>
      <c r="C143" s="92"/>
      <c r="D143" s="105"/>
      <c r="E143" s="105"/>
      <c r="F143" s="105"/>
      <c r="G143" s="50"/>
      <c r="H143" s="105"/>
      <c r="I143" s="105"/>
      <c r="J143" s="43"/>
      <c r="K143" s="43"/>
      <c r="L143" s="43"/>
      <c r="M143" s="102"/>
      <c r="N143" s="43"/>
      <c r="O143" s="43"/>
      <c r="P143" s="43"/>
    </row>
    <row r="144" spans="1:41" s="7" customFormat="1" ht="15.75" customHeight="1">
      <c r="A144" s="55"/>
      <c r="B144" s="56"/>
      <c r="C144" s="56"/>
      <c r="D144" s="92"/>
      <c r="E144" s="61"/>
      <c r="F144" s="155" t="s">
        <v>93</v>
      </c>
      <c r="G144" s="62"/>
      <c r="H144" s="61"/>
      <c r="I144" s="61"/>
      <c r="J144" s="61"/>
      <c r="K144" s="61"/>
      <c r="L144" s="61"/>
      <c r="M144" s="61"/>
      <c r="N144" s="61"/>
      <c r="O144" s="61"/>
      <c r="P144" s="61"/>
      <c r="Q144" s="4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</row>
    <row r="145" spans="1:41" s="7" customFormat="1" ht="12" customHeight="1">
      <c r="A145" s="55"/>
      <c r="B145" s="56"/>
      <c r="C145" s="56"/>
      <c r="D145" s="92"/>
      <c r="E145" s="61"/>
      <c r="F145" s="61"/>
      <c r="G145" s="62"/>
      <c r="H145" s="61"/>
      <c r="I145" s="61"/>
      <c r="J145" s="61"/>
      <c r="K145" s="61"/>
      <c r="L145" s="61"/>
      <c r="M145" s="61"/>
      <c r="N145" s="61"/>
      <c r="O145" s="61"/>
      <c r="P145" s="61"/>
      <c r="Q145" s="4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</row>
    <row r="146" spans="1:17" ht="12" customHeight="1" thickBot="1">
      <c r="A146" s="16"/>
      <c r="B146"/>
      <c r="C146"/>
      <c r="D146" s="66">
        <v>0</v>
      </c>
      <c r="E146" s="66">
        <v>1</v>
      </c>
      <c r="F146" s="66">
        <f aca="true" t="shared" si="98" ref="F146:Q146">E146+1</f>
        <v>2</v>
      </c>
      <c r="G146" s="150">
        <f t="shared" si="98"/>
        <v>3</v>
      </c>
      <c r="H146" s="66">
        <f t="shared" si="98"/>
        <v>4</v>
      </c>
      <c r="I146" s="103">
        <f t="shared" si="98"/>
        <v>5</v>
      </c>
      <c r="J146" s="103">
        <f t="shared" si="98"/>
        <v>6</v>
      </c>
      <c r="K146" s="103">
        <f t="shared" si="98"/>
        <v>7</v>
      </c>
      <c r="L146" s="103">
        <f t="shared" si="98"/>
        <v>8</v>
      </c>
      <c r="M146" s="111">
        <f t="shared" si="98"/>
        <v>9</v>
      </c>
      <c r="N146" s="103">
        <f t="shared" si="98"/>
        <v>10</v>
      </c>
      <c r="O146" s="103">
        <f t="shared" si="98"/>
        <v>11</v>
      </c>
      <c r="P146" s="103">
        <f t="shared" si="98"/>
        <v>12</v>
      </c>
      <c r="Q146" s="103">
        <f t="shared" si="98"/>
        <v>13</v>
      </c>
    </row>
    <row r="147" spans="1:17" ht="12" customHeight="1">
      <c r="A147" s="16"/>
      <c r="C147" s="4" t="s">
        <v>35</v>
      </c>
      <c r="D147" s="43">
        <f>$D$1</f>
        <v>1</v>
      </c>
      <c r="E147" s="43">
        <f aca="true" t="shared" si="99" ref="E147:Q147">D147</f>
        <v>1</v>
      </c>
      <c r="F147" s="43">
        <f t="shared" si="99"/>
        <v>1</v>
      </c>
      <c r="G147" s="143">
        <f t="shared" si="99"/>
        <v>1</v>
      </c>
      <c r="H147" s="43">
        <f t="shared" si="99"/>
        <v>1</v>
      </c>
      <c r="I147" s="43">
        <f t="shared" si="99"/>
        <v>1</v>
      </c>
      <c r="J147" s="43">
        <f t="shared" si="99"/>
        <v>1</v>
      </c>
      <c r="K147" s="43">
        <f t="shared" si="99"/>
        <v>1</v>
      </c>
      <c r="L147" s="43">
        <f t="shared" si="99"/>
        <v>1</v>
      </c>
      <c r="M147" s="8">
        <f t="shared" si="99"/>
        <v>1</v>
      </c>
      <c r="N147" s="43">
        <f t="shared" si="99"/>
        <v>1</v>
      </c>
      <c r="O147" s="43">
        <f t="shared" si="99"/>
        <v>1</v>
      </c>
      <c r="P147" s="8">
        <f t="shared" si="99"/>
        <v>1</v>
      </c>
      <c r="Q147" s="161">
        <f t="shared" si="99"/>
        <v>1</v>
      </c>
    </row>
    <row r="148" spans="1:17" ht="12" customHeight="1">
      <c r="A148" s="16"/>
      <c r="C148" s="4" t="s">
        <v>2</v>
      </c>
      <c r="D148" s="11">
        <f>$D$2</f>
        <v>0.06</v>
      </c>
      <c r="E148" s="11">
        <f aca="true" t="shared" si="100" ref="E148:Q148">D148</f>
        <v>0.06</v>
      </c>
      <c r="F148" s="11">
        <f t="shared" si="100"/>
        <v>0.06</v>
      </c>
      <c r="G148" s="54">
        <f t="shared" si="100"/>
        <v>0.06</v>
      </c>
      <c r="H148" s="11">
        <f t="shared" si="100"/>
        <v>0.06</v>
      </c>
      <c r="I148" s="11">
        <f t="shared" si="100"/>
        <v>0.06</v>
      </c>
      <c r="J148" s="11">
        <f t="shared" si="100"/>
        <v>0.06</v>
      </c>
      <c r="K148" s="11">
        <f t="shared" si="100"/>
        <v>0.06</v>
      </c>
      <c r="L148" s="11">
        <f t="shared" si="100"/>
        <v>0.06</v>
      </c>
      <c r="M148" s="54">
        <f t="shared" si="100"/>
        <v>0.06</v>
      </c>
      <c r="N148" s="11">
        <f t="shared" si="100"/>
        <v>0.06</v>
      </c>
      <c r="O148" s="11">
        <f t="shared" si="100"/>
        <v>0.06</v>
      </c>
      <c r="P148" s="11">
        <f t="shared" si="100"/>
        <v>0.06</v>
      </c>
      <c r="Q148" s="11">
        <f t="shared" si="100"/>
        <v>0.06</v>
      </c>
    </row>
    <row r="149" spans="1:17" ht="12" customHeight="1">
      <c r="A149" s="16"/>
      <c r="C149" s="4" t="s">
        <v>115</v>
      </c>
      <c r="D149" s="11">
        <f>$D$3</f>
        <v>0.04</v>
      </c>
      <c r="E149" s="11">
        <f aca="true" t="shared" si="101" ref="E149:Q149">D149</f>
        <v>0.04</v>
      </c>
      <c r="F149" s="11">
        <f t="shared" si="101"/>
        <v>0.04</v>
      </c>
      <c r="G149" s="54">
        <f t="shared" si="101"/>
        <v>0.04</v>
      </c>
      <c r="H149" s="11">
        <f t="shared" si="101"/>
        <v>0.04</v>
      </c>
      <c r="I149" s="11">
        <f t="shared" si="101"/>
        <v>0.04</v>
      </c>
      <c r="J149" s="11">
        <f t="shared" si="101"/>
        <v>0.04</v>
      </c>
      <c r="K149" s="11">
        <f t="shared" si="101"/>
        <v>0.04</v>
      </c>
      <c r="L149" s="11">
        <f t="shared" si="101"/>
        <v>0.04</v>
      </c>
      <c r="M149" s="54">
        <f t="shared" si="101"/>
        <v>0.04</v>
      </c>
      <c r="N149" s="11">
        <f t="shared" si="101"/>
        <v>0.04</v>
      </c>
      <c r="O149" s="11">
        <f t="shared" si="101"/>
        <v>0.04</v>
      </c>
      <c r="P149" s="11">
        <f t="shared" si="101"/>
        <v>0.04</v>
      </c>
      <c r="Q149" s="11">
        <f t="shared" si="101"/>
        <v>0.04</v>
      </c>
    </row>
    <row r="150" spans="1:41" s="7" customFormat="1" ht="11.25" customHeight="1">
      <c r="A150" s="16"/>
      <c r="C150" s="7" t="s">
        <v>36</v>
      </c>
      <c r="D150" s="51">
        <f aca="true" t="shared" si="102" ref="D150:Q150">D148+D147*D149</f>
        <v>0.1</v>
      </c>
      <c r="E150" s="51">
        <f t="shared" si="102"/>
        <v>0.1</v>
      </c>
      <c r="F150" s="51">
        <f t="shared" si="102"/>
        <v>0.1</v>
      </c>
      <c r="G150" s="50">
        <f t="shared" si="102"/>
        <v>0.1</v>
      </c>
      <c r="H150" s="51">
        <f t="shared" si="102"/>
        <v>0.1</v>
      </c>
      <c r="I150" s="51">
        <f t="shared" si="102"/>
        <v>0.1</v>
      </c>
      <c r="J150" s="51">
        <f t="shared" si="102"/>
        <v>0.1</v>
      </c>
      <c r="K150" s="51">
        <f t="shared" si="102"/>
        <v>0.1</v>
      </c>
      <c r="L150" s="51">
        <f t="shared" si="102"/>
        <v>0.1</v>
      </c>
      <c r="M150" s="50">
        <f t="shared" si="102"/>
        <v>0.1</v>
      </c>
      <c r="N150" s="51">
        <f t="shared" si="102"/>
        <v>0.1</v>
      </c>
      <c r="O150" s="51">
        <f t="shared" si="102"/>
        <v>0.1</v>
      </c>
      <c r="P150" s="51">
        <f t="shared" si="102"/>
        <v>0.1</v>
      </c>
      <c r="Q150" s="51">
        <f t="shared" si="102"/>
        <v>0.1</v>
      </c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</row>
    <row r="151" spans="1:41" s="7" customFormat="1" ht="11.25" customHeight="1" hidden="1">
      <c r="A151" s="16"/>
      <c r="C151" s="21" t="s">
        <v>37</v>
      </c>
      <c r="D151" s="12">
        <v>1</v>
      </c>
      <c r="E151" s="85">
        <f aca="true" t="shared" si="103" ref="E151:Q151">D151/(1+D150)</f>
        <v>0.9090909090909091</v>
      </c>
      <c r="F151" s="85">
        <f t="shared" si="103"/>
        <v>0.8264462809917354</v>
      </c>
      <c r="G151" s="94">
        <f t="shared" si="103"/>
        <v>0.7513148009015777</v>
      </c>
      <c r="H151" s="85">
        <f t="shared" si="103"/>
        <v>0.6830134553650705</v>
      </c>
      <c r="I151" s="85">
        <f t="shared" si="103"/>
        <v>0.6209213230591549</v>
      </c>
      <c r="J151" s="85">
        <f t="shared" si="103"/>
        <v>0.5644739300537771</v>
      </c>
      <c r="K151" s="85">
        <f t="shared" si="103"/>
        <v>0.5131581182307065</v>
      </c>
      <c r="L151" s="85">
        <f t="shared" si="103"/>
        <v>0.4665073802097331</v>
      </c>
      <c r="M151" s="94">
        <f t="shared" si="103"/>
        <v>0.4240976183724846</v>
      </c>
      <c r="N151" s="85">
        <f t="shared" si="103"/>
        <v>0.3855432894295314</v>
      </c>
      <c r="O151" s="85">
        <f t="shared" si="103"/>
        <v>0.35049389948139215</v>
      </c>
      <c r="P151" s="85">
        <f t="shared" si="103"/>
        <v>0.31863081771035645</v>
      </c>
      <c r="Q151" s="85">
        <f t="shared" si="103"/>
        <v>0.2896643797366877</v>
      </c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</row>
    <row r="152" spans="3:17" ht="11.25" customHeight="1" hidden="1">
      <c r="C152" s="4" t="s">
        <v>31</v>
      </c>
      <c r="E152" s="5">
        <f>E$41</f>
        <v>243</v>
      </c>
      <c r="F152" s="5">
        <f aca="true" t="shared" si="104" ref="F152:P152">F$41</f>
        <v>107</v>
      </c>
      <c r="G152" s="5">
        <f t="shared" si="104"/>
        <v>416</v>
      </c>
      <c r="H152" s="5">
        <f t="shared" si="104"/>
        <v>448.6500000000001</v>
      </c>
      <c r="I152" s="5">
        <f t="shared" si="104"/>
        <v>457.6229999999999</v>
      </c>
      <c r="J152" s="5">
        <f t="shared" si="104"/>
        <v>466.7754600000002</v>
      </c>
      <c r="K152" s="5">
        <f t="shared" si="104"/>
        <v>476.1109691999999</v>
      </c>
      <c r="L152" s="5">
        <f t="shared" si="104"/>
        <v>485.63318858399964</v>
      </c>
      <c r="M152" s="5">
        <f t="shared" si="104"/>
        <v>495.3458523556802</v>
      </c>
      <c r="N152" s="5">
        <f t="shared" si="104"/>
        <v>505.2527694027938</v>
      </c>
      <c r="O152" s="5">
        <f t="shared" si="104"/>
        <v>515.35782479085</v>
      </c>
      <c r="P152" s="5">
        <f t="shared" si="104"/>
        <v>525.6649812866659</v>
      </c>
      <c r="Q152" s="162">
        <f>P152*(1+O$5)+P152*(1+O$5)*(1+O$5)/(P150-O$5)</f>
        <v>7372.451362545489</v>
      </c>
    </row>
    <row r="153" spans="3:17" ht="11.25" customHeight="1" hidden="1">
      <c r="C153" s="21" t="s">
        <v>38</v>
      </c>
      <c r="E153" s="5">
        <f>E151*E152</f>
        <v>220.9090909090909</v>
      </c>
      <c r="F153" s="5">
        <f aca="true" t="shared" si="105" ref="F153:Q153">F151*F152</f>
        <v>88.4297520661157</v>
      </c>
      <c r="G153" s="93">
        <f t="shared" si="105"/>
        <v>312.5469571750563</v>
      </c>
      <c r="H153" s="5">
        <f t="shared" si="105"/>
        <v>306.433986749539</v>
      </c>
      <c r="I153" s="5">
        <f t="shared" si="105"/>
        <v>284.1478786222996</v>
      </c>
      <c r="J153" s="5">
        <f t="shared" si="105"/>
        <v>263.4825783588597</v>
      </c>
      <c r="K153" s="5">
        <f t="shared" si="105"/>
        <v>244.32020902366978</v>
      </c>
      <c r="L153" s="5">
        <f t="shared" si="105"/>
        <v>226.55146654922092</v>
      </c>
      <c r="M153" s="93">
        <f t="shared" si="105"/>
        <v>210.07499625473238</v>
      </c>
      <c r="N153" s="5">
        <f t="shared" si="105"/>
        <v>194.79681470893362</v>
      </c>
      <c r="O153" s="5">
        <f t="shared" si="105"/>
        <v>180.6297736391931</v>
      </c>
      <c r="P153" s="5">
        <f t="shared" si="105"/>
        <v>167.49306282906957</v>
      </c>
      <c r="Q153" s="5">
        <f t="shared" si="105"/>
        <v>2135.536551070637</v>
      </c>
    </row>
    <row r="154" spans="1:41" s="77" customFormat="1" ht="11.25" customHeight="1" thickBot="1">
      <c r="A154" s="64"/>
      <c r="C154" s="78" t="s">
        <v>39</v>
      </c>
      <c r="D154" s="79">
        <f>SUM(E153:$Q153)/D151</f>
        <v>4835.353117956418</v>
      </c>
      <c r="E154" s="79">
        <f>SUM(F153:$Q153)/E151</f>
        <v>5075.888429752059</v>
      </c>
      <c r="F154" s="79">
        <f>SUM(G153:$Q153)/F151</f>
        <v>5476.477272727266</v>
      </c>
      <c r="G154" s="95">
        <f>SUM(H153:$Q153)/G151</f>
        <v>5608.124999999993</v>
      </c>
      <c r="H154" s="79">
        <f>SUM(I153:$Q153)/H151</f>
        <v>5720.287499999992</v>
      </c>
      <c r="I154" s="79">
        <f>SUM(J153:$Q153)/I151</f>
        <v>5834.693249999993</v>
      </c>
      <c r="J154" s="79">
        <f>SUM(K153:$Q153)/J151</f>
        <v>5951.387114999992</v>
      </c>
      <c r="K154" s="79">
        <f>SUM(L153:$Q153)/K151</f>
        <v>6070.414857299992</v>
      </c>
      <c r="L154" s="79">
        <f>SUM(M153:$Q153)/L151</f>
        <v>6191.823154445992</v>
      </c>
      <c r="M154" s="95">
        <f>SUM(N153:$Q153)/M151</f>
        <v>6315.659617534911</v>
      </c>
      <c r="N154" s="79">
        <f>SUM(O153:$Q153)/N151</f>
        <v>6441.972809885611</v>
      </c>
      <c r="O154" s="79">
        <f>SUM(P153:$Q153)/O151</f>
        <v>6570.812266083322</v>
      </c>
      <c r="P154" s="79">
        <f>SUM(Q153:$Q153)/P151</f>
        <v>6702.22851140499</v>
      </c>
      <c r="Q154" s="80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</row>
    <row r="155" spans="1:17" ht="10.5" hidden="1">
      <c r="A155" s="16"/>
      <c r="C155" s="6" t="s">
        <v>40</v>
      </c>
      <c r="D155" s="6"/>
      <c r="E155" s="44" t="e">
        <f>#REF!/#REF!-1</f>
        <v>#REF!</v>
      </c>
      <c r="F155" s="44" t="e">
        <f>#REF!/#REF!-1</f>
        <v>#REF!</v>
      </c>
      <c r="G155" s="30" t="e">
        <f>#REF!/#REF!-1</f>
        <v>#REF!</v>
      </c>
      <c r="H155" s="44" t="e">
        <f>#REF!/#REF!-1</f>
        <v>#REF!</v>
      </c>
      <c r="I155" s="44" t="e">
        <f>#REF!/#REF!-1</f>
        <v>#REF!</v>
      </c>
      <c r="J155" s="44" t="e">
        <f>#REF!/#REF!-1</f>
        <v>#REF!</v>
      </c>
      <c r="K155" s="44" t="e">
        <f>#REF!/#REF!-1</f>
        <v>#REF!</v>
      </c>
      <c r="L155" s="44" t="e">
        <f>#REF!/#REF!-1</f>
        <v>#REF!</v>
      </c>
      <c r="M155" s="30" t="e">
        <f>#REF!/#REF!-1</f>
        <v>#REF!</v>
      </c>
      <c r="N155" s="44" t="e">
        <f>#REF!/#REF!-1</f>
        <v>#REF!</v>
      </c>
      <c r="O155" s="44" t="e">
        <f>#REF!/#REF!-1</f>
        <v>#REF!</v>
      </c>
      <c r="P155" s="44" t="e">
        <f>#REF!/#REF!-1</f>
        <v>#REF!</v>
      </c>
      <c r="Q155" s="44" t="e">
        <f>Q154/#REF!-1</f>
        <v>#REF!</v>
      </c>
    </row>
    <row r="156" spans="1:17" ht="6.75" customHeight="1">
      <c r="A156" s="16"/>
      <c r="D156" s="1"/>
      <c r="E156" s="1"/>
      <c r="F156" s="1"/>
      <c r="G156" s="29"/>
      <c r="H156" s="1"/>
      <c r="I156" s="1"/>
      <c r="J156" s="3"/>
      <c r="K156" s="3"/>
      <c r="L156" s="3"/>
      <c r="M156" s="35"/>
      <c r="N156" s="3"/>
      <c r="O156" s="3"/>
      <c r="P156" s="3"/>
      <c r="Q156" s="3"/>
    </row>
    <row r="157" spans="1:17" ht="12.75" customHeight="1">
      <c r="A157" s="16"/>
      <c r="C157" s="4" t="s">
        <v>41</v>
      </c>
      <c r="D157" s="1">
        <f aca="true" t="shared" si="106" ref="D157:Q157">D$13</f>
        <v>1500</v>
      </c>
      <c r="E157" s="1">
        <f t="shared" si="106"/>
        <v>1500</v>
      </c>
      <c r="F157" s="1">
        <f t="shared" si="106"/>
        <v>1500</v>
      </c>
      <c r="G157" s="1">
        <f t="shared" si="106"/>
        <v>1500</v>
      </c>
      <c r="H157" s="1">
        <f t="shared" si="106"/>
        <v>1530</v>
      </c>
      <c r="I157" s="1">
        <f t="shared" si="106"/>
        <v>1560.6000000000001</v>
      </c>
      <c r="J157" s="1">
        <f t="shared" si="106"/>
        <v>1591.8120000000001</v>
      </c>
      <c r="K157" s="1">
        <f t="shared" si="106"/>
        <v>1623.6482400000002</v>
      </c>
      <c r="L157" s="1">
        <f t="shared" si="106"/>
        <v>1656.1212048000002</v>
      </c>
      <c r="M157" s="1">
        <f t="shared" si="106"/>
        <v>1689.2436288960002</v>
      </c>
      <c r="N157" s="1">
        <f t="shared" si="106"/>
        <v>1723.0285014739202</v>
      </c>
      <c r="O157" s="1">
        <f t="shared" si="106"/>
        <v>1757.4890715033987</v>
      </c>
      <c r="P157" s="1">
        <f t="shared" si="106"/>
        <v>1792.6388529334668</v>
      </c>
      <c r="Q157" s="1">
        <f t="shared" si="106"/>
        <v>1828.491629992136</v>
      </c>
    </row>
    <row r="158" spans="1:17" s="69" customFormat="1" ht="12.75" customHeight="1" hidden="1">
      <c r="A158" s="55"/>
      <c r="C158" s="21" t="s">
        <v>42</v>
      </c>
      <c r="D158" s="12">
        <v>1</v>
      </c>
      <c r="E158" s="85">
        <f aca="true" t="shared" si="107" ref="E158:Q158">D158/(1+D$64)</f>
        <v>0.9259259259259258</v>
      </c>
      <c r="F158" s="85">
        <f t="shared" si="107"/>
        <v>0.8573388203017831</v>
      </c>
      <c r="G158" s="85">
        <f t="shared" si="107"/>
        <v>0.7938322410201695</v>
      </c>
      <c r="H158" s="85">
        <f t="shared" si="107"/>
        <v>0.7350298527964532</v>
      </c>
      <c r="I158" s="85">
        <f t="shared" si="107"/>
        <v>0.6805831970337529</v>
      </c>
      <c r="J158" s="85">
        <f t="shared" si="107"/>
        <v>0.6301696268831045</v>
      </c>
      <c r="K158" s="85">
        <f t="shared" si="107"/>
        <v>0.5834903952621338</v>
      </c>
      <c r="L158" s="85">
        <f t="shared" si="107"/>
        <v>0.5402688845019756</v>
      </c>
      <c r="M158" s="85">
        <f t="shared" si="107"/>
        <v>0.5002489671314588</v>
      </c>
      <c r="N158" s="85">
        <f t="shared" si="107"/>
        <v>0.4631934880846841</v>
      </c>
      <c r="O158" s="85">
        <f t="shared" si="107"/>
        <v>0.4288828593376704</v>
      </c>
      <c r="P158" s="85">
        <f t="shared" si="107"/>
        <v>0.3971137586459911</v>
      </c>
      <c r="Q158" s="85">
        <f t="shared" si="107"/>
        <v>0.36769792467221396</v>
      </c>
    </row>
    <row r="159" spans="1:17" s="69" customFormat="1" ht="12.75" customHeight="1" hidden="1">
      <c r="A159" s="55"/>
      <c r="C159" s="4" t="s">
        <v>32</v>
      </c>
      <c r="D159" s="86"/>
      <c r="E159" s="102">
        <f>E$42</f>
        <v>120</v>
      </c>
      <c r="F159" s="102">
        <f aca="true" t="shared" si="108" ref="F159:P159">F$42</f>
        <v>120</v>
      </c>
      <c r="G159" s="102">
        <f t="shared" si="108"/>
        <v>120</v>
      </c>
      <c r="H159" s="102">
        <f t="shared" si="108"/>
        <v>90</v>
      </c>
      <c r="I159" s="102">
        <f t="shared" si="108"/>
        <v>91.79999999999987</v>
      </c>
      <c r="J159" s="102">
        <f t="shared" si="108"/>
        <v>93.63600000000002</v>
      </c>
      <c r="K159" s="102">
        <f t="shared" si="108"/>
        <v>95.50871999999993</v>
      </c>
      <c r="L159" s="102">
        <f t="shared" si="108"/>
        <v>97.41889440000003</v>
      </c>
      <c r="M159" s="102">
        <f t="shared" si="108"/>
        <v>99.36727228799998</v>
      </c>
      <c r="N159" s="102">
        <f t="shared" si="108"/>
        <v>101.35461773376008</v>
      </c>
      <c r="O159" s="102">
        <f t="shared" si="108"/>
        <v>103.38171008843511</v>
      </c>
      <c r="P159" s="102">
        <f t="shared" si="108"/>
        <v>105.44934429020384</v>
      </c>
      <c r="Q159" s="162">
        <f>P159*(1+O$5)+P159*(1+O$5)*(1+O$5)/(P163-O$5)</f>
        <v>1936.0499611681423</v>
      </c>
    </row>
    <row r="160" spans="1:17" s="69" customFormat="1" ht="12.75" customHeight="1" hidden="1">
      <c r="A160" s="55"/>
      <c r="C160" s="21" t="s">
        <v>43</v>
      </c>
      <c r="D160" s="86"/>
      <c r="E160" s="87">
        <f aca="true" t="shared" si="109" ref="E160:Q160">E159*E158</f>
        <v>111.1111111111111</v>
      </c>
      <c r="F160" s="87">
        <f t="shared" si="109"/>
        <v>102.88065843621398</v>
      </c>
      <c r="G160" s="94">
        <f t="shared" si="109"/>
        <v>95.25986892242034</v>
      </c>
      <c r="H160" s="87">
        <f t="shared" si="109"/>
        <v>66.15268675168079</v>
      </c>
      <c r="I160" s="87">
        <f t="shared" si="109"/>
        <v>62.47753748769843</v>
      </c>
      <c r="J160" s="87">
        <f t="shared" si="109"/>
        <v>59.00656318282639</v>
      </c>
      <c r="K160" s="87">
        <f t="shared" si="109"/>
        <v>55.728420783780415</v>
      </c>
      <c r="L160" s="87">
        <f t="shared" si="109"/>
        <v>52.63239740690378</v>
      </c>
      <c r="M160" s="94">
        <f t="shared" si="109"/>
        <v>49.70837532874242</v>
      </c>
      <c r="N160" s="87">
        <f t="shared" si="109"/>
        <v>46.94679892159011</v>
      </c>
      <c r="O160" s="87">
        <f t="shared" si="109"/>
        <v>44.33864342594614</v>
      </c>
      <c r="P160" s="87">
        <f t="shared" si="109"/>
        <v>41.87538545783802</v>
      </c>
      <c r="Q160" s="87">
        <f t="shared" si="109"/>
        <v>711.8815527832463</v>
      </c>
    </row>
    <row r="161" spans="1:17" ht="12.75" customHeight="1" thickBot="1">
      <c r="A161" s="64"/>
      <c r="B161" s="65"/>
      <c r="C161" s="119" t="s">
        <v>44</v>
      </c>
      <c r="D161" s="79">
        <f>SUM(E160:$Q160)/D158</f>
        <v>1499.9999999999982</v>
      </c>
      <c r="E161" s="79">
        <f>SUM(F160:$Q160)/E158</f>
        <v>1499.9999999999982</v>
      </c>
      <c r="F161" s="79">
        <f>SUM(G160:$Q160)/F158</f>
        <v>1499.9999999999982</v>
      </c>
      <c r="G161" s="95">
        <f>SUM(H160:$Q160)/G158</f>
        <v>1499.9999999999982</v>
      </c>
      <c r="H161" s="79">
        <f>SUM(I160:$Q160)/H158</f>
        <v>1529.9999999999984</v>
      </c>
      <c r="I161" s="79">
        <f>SUM(J160:$Q160)/I158</f>
        <v>1560.5999999999983</v>
      </c>
      <c r="J161" s="79">
        <f>SUM(K160:$Q160)/J158</f>
        <v>1591.811999999998</v>
      </c>
      <c r="K161" s="79">
        <f>SUM(L160:$Q160)/K158</f>
        <v>1623.6482399999982</v>
      </c>
      <c r="L161" s="79">
        <f>SUM(M160:$Q160)/L158</f>
        <v>1656.1212047999982</v>
      </c>
      <c r="M161" s="95">
        <f>SUM(N160:$Q160)/M158</f>
        <v>1689.2436288959984</v>
      </c>
      <c r="N161" s="79">
        <f>SUM(O160:$Q160)/N158</f>
        <v>1723.0285014739184</v>
      </c>
      <c r="O161" s="79">
        <f>SUM(P160:$Q160)/O158</f>
        <v>1757.4890715033969</v>
      </c>
      <c r="P161" s="79">
        <f>SUM(Q160:$Q160)/P158</f>
        <v>1792.638852933465</v>
      </c>
      <c r="Q161" s="67"/>
    </row>
    <row r="162" spans="1:17" ht="12" customHeight="1">
      <c r="A162" s="16"/>
      <c r="C162" s="7" t="s">
        <v>4</v>
      </c>
      <c r="D162" s="51">
        <f>$D$4</f>
        <v>0.08</v>
      </c>
      <c r="E162" s="139">
        <f aca="true" t="shared" si="110" ref="E162:Q162">D162</f>
        <v>0.08</v>
      </c>
      <c r="F162" s="139">
        <f t="shared" si="110"/>
        <v>0.08</v>
      </c>
      <c r="G162" s="140">
        <f t="shared" si="110"/>
        <v>0.08</v>
      </c>
      <c r="H162" s="139">
        <f t="shared" si="110"/>
        <v>0.08</v>
      </c>
      <c r="I162" s="139">
        <f t="shared" si="110"/>
        <v>0.08</v>
      </c>
      <c r="J162" s="139">
        <f t="shared" si="110"/>
        <v>0.08</v>
      </c>
      <c r="K162" s="139">
        <f t="shared" si="110"/>
        <v>0.08</v>
      </c>
      <c r="L162" s="139">
        <f t="shared" si="110"/>
        <v>0.08</v>
      </c>
      <c r="M162" s="140">
        <f t="shared" si="110"/>
        <v>0.08</v>
      </c>
      <c r="N162" s="139">
        <f t="shared" si="110"/>
        <v>0.08</v>
      </c>
      <c r="O162" s="139">
        <f t="shared" si="110"/>
        <v>0.08</v>
      </c>
      <c r="P162" s="139">
        <f t="shared" si="110"/>
        <v>0.08</v>
      </c>
      <c r="Q162" s="139">
        <f t="shared" si="110"/>
        <v>0.08</v>
      </c>
    </row>
    <row r="163" spans="1:41" s="107" customFormat="1" ht="12" customHeight="1">
      <c r="A163" s="16"/>
      <c r="C163" s="107" t="s">
        <v>5</v>
      </c>
      <c r="D163" s="51">
        <f>$D$5</f>
        <v>0.08</v>
      </c>
      <c r="E163" s="51">
        <f aca="true" t="shared" si="111" ref="E163:Q163">D163</f>
        <v>0.08</v>
      </c>
      <c r="F163" s="51">
        <f t="shared" si="111"/>
        <v>0.08</v>
      </c>
      <c r="G163" s="50">
        <f t="shared" si="111"/>
        <v>0.08</v>
      </c>
      <c r="H163" s="51">
        <f t="shared" si="111"/>
        <v>0.08</v>
      </c>
      <c r="I163" s="51">
        <f t="shared" si="111"/>
        <v>0.08</v>
      </c>
      <c r="J163" s="51">
        <f t="shared" si="111"/>
        <v>0.08</v>
      </c>
      <c r="K163" s="51">
        <f t="shared" si="111"/>
        <v>0.08</v>
      </c>
      <c r="L163" s="51">
        <f t="shared" si="111"/>
        <v>0.08</v>
      </c>
      <c r="M163" s="50">
        <f t="shared" si="111"/>
        <v>0.08</v>
      </c>
      <c r="N163" s="51">
        <f t="shared" si="111"/>
        <v>0.08</v>
      </c>
      <c r="O163" s="51">
        <f t="shared" si="111"/>
        <v>0.08</v>
      </c>
      <c r="P163" s="51">
        <f t="shared" si="111"/>
        <v>0.08</v>
      </c>
      <c r="Q163" s="51">
        <f t="shared" si="111"/>
        <v>0.08</v>
      </c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</row>
    <row r="164" spans="1:41" s="42" customFormat="1" ht="12" customHeight="1">
      <c r="A164" s="45"/>
      <c r="C164" s="42" t="s">
        <v>45</v>
      </c>
      <c r="D164" s="81">
        <f aca="true" t="shared" si="112" ref="D164:Q164">(D163-D148)/D149</f>
        <v>0.5000000000000001</v>
      </c>
      <c r="E164" s="81">
        <f t="shared" si="112"/>
        <v>0.5000000000000001</v>
      </c>
      <c r="F164" s="81">
        <f t="shared" si="112"/>
        <v>0.5000000000000001</v>
      </c>
      <c r="G164" s="144">
        <f t="shared" si="112"/>
        <v>0.5000000000000001</v>
      </c>
      <c r="H164" s="81">
        <f t="shared" si="112"/>
        <v>0.5000000000000001</v>
      </c>
      <c r="I164" s="81">
        <f t="shared" si="112"/>
        <v>0.5000000000000001</v>
      </c>
      <c r="J164" s="82">
        <f t="shared" si="112"/>
        <v>0.5000000000000001</v>
      </c>
      <c r="K164" s="82">
        <f t="shared" si="112"/>
        <v>0.5000000000000001</v>
      </c>
      <c r="L164" s="82">
        <f t="shared" si="112"/>
        <v>0.5000000000000001</v>
      </c>
      <c r="M164" s="83">
        <f t="shared" si="112"/>
        <v>0.5000000000000001</v>
      </c>
      <c r="N164" s="82">
        <f t="shared" si="112"/>
        <v>0.5000000000000001</v>
      </c>
      <c r="O164" s="82">
        <f t="shared" si="112"/>
        <v>0.5000000000000001</v>
      </c>
      <c r="P164" s="82">
        <f t="shared" si="112"/>
        <v>0.5000000000000001</v>
      </c>
      <c r="Q164" s="84">
        <f t="shared" si="112"/>
        <v>0.5000000000000001</v>
      </c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</row>
    <row r="165" spans="1:17" ht="11.25" customHeight="1">
      <c r="A165" s="16"/>
      <c r="D165"/>
      <c r="E165" s="43"/>
      <c r="F165" s="43"/>
      <c r="G165" s="143"/>
      <c r="H165" s="43"/>
      <c r="I165" s="43"/>
      <c r="J165" s="2"/>
      <c r="K165" s="2"/>
      <c r="L165" s="2"/>
      <c r="M165" s="8"/>
      <c r="N165" s="2"/>
      <c r="O165" s="2"/>
      <c r="P165" s="2"/>
      <c r="Q165" s="2"/>
    </row>
    <row r="166" spans="1:17" ht="11.25" customHeight="1" hidden="1">
      <c r="A166" s="16"/>
      <c r="C166" s="158" t="s">
        <v>105</v>
      </c>
      <c r="D166" s="43"/>
      <c r="E166" s="43">
        <f aca="true" t="shared" si="113" ref="E166:P166">D161*D150*$H$3+$F$1*(D157*D162-D161*D163)-D157*(D163-D148)*(1-E30)</f>
        <v>32.999999999999986</v>
      </c>
      <c r="F166" s="43">
        <f t="shared" si="113"/>
        <v>32.999999999999986</v>
      </c>
      <c r="G166" s="43">
        <f t="shared" si="113"/>
        <v>32.999999999999986</v>
      </c>
      <c r="H166" s="43">
        <f t="shared" si="113"/>
        <v>32.999999999999986</v>
      </c>
      <c r="I166" s="43">
        <f t="shared" si="113"/>
        <v>33.65999999999998</v>
      </c>
      <c r="J166" s="43">
        <f t="shared" si="113"/>
        <v>34.33319999999998</v>
      </c>
      <c r="K166" s="43">
        <f t="shared" si="113"/>
        <v>35.019863999999984</v>
      </c>
      <c r="L166" s="43">
        <f t="shared" si="113"/>
        <v>35.72026127999998</v>
      </c>
      <c r="M166" s="43">
        <f t="shared" si="113"/>
        <v>36.434666505599985</v>
      </c>
      <c r="N166" s="43">
        <f t="shared" si="113"/>
        <v>37.16335983571198</v>
      </c>
      <c r="O166" s="43">
        <f t="shared" si="113"/>
        <v>37.90662703242622</v>
      </c>
      <c r="P166" s="43">
        <f t="shared" si="113"/>
        <v>38.66475957307475</v>
      </c>
      <c r="Q166" s="162">
        <f>P166*(1+O$5)+P166*(1+O$5)*(1+O$5)/(P150-O$5)</f>
        <v>542.2732530123733</v>
      </c>
    </row>
    <row r="167" spans="3:17" ht="11.25" customHeight="1" hidden="1">
      <c r="C167" s="21" t="s">
        <v>47</v>
      </c>
      <c r="E167" s="5">
        <f>E151*E166</f>
        <v>29.999999999999986</v>
      </c>
      <c r="F167" s="5">
        <f aca="true" t="shared" si="114" ref="F167:Q167">F151*F166</f>
        <v>27.27272727272726</v>
      </c>
      <c r="G167" s="93">
        <f t="shared" si="114"/>
        <v>24.793388429752053</v>
      </c>
      <c r="H167" s="5">
        <f t="shared" si="114"/>
        <v>22.539444027047317</v>
      </c>
      <c r="I167" s="5">
        <f t="shared" si="114"/>
        <v>20.900211734171144</v>
      </c>
      <c r="J167" s="5">
        <f t="shared" si="114"/>
        <v>19.380196335322328</v>
      </c>
      <c r="K167" s="5">
        <f t="shared" si="114"/>
        <v>17.97072751093525</v>
      </c>
      <c r="L167" s="5">
        <f t="shared" si="114"/>
        <v>16.66376551013996</v>
      </c>
      <c r="M167" s="93">
        <f t="shared" si="114"/>
        <v>15.45185529122069</v>
      </c>
      <c r="N167" s="5">
        <f t="shared" si="114"/>
        <v>14.328083997313726</v>
      </c>
      <c r="O167" s="5">
        <f t="shared" si="114"/>
        <v>13.286041524781819</v>
      </c>
      <c r="P167" s="5">
        <f t="shared" si="114"/>
        <v>12.31978395934314</v>
      </c>
      <c r="Q167" s="5">
        <f t="shared" si="114"/>
        <v>157.07724548162503</v>
      </c>
    </row>
    <row r="168" spans="1:17" ht="11.25" customHeight="1">
      <c r="A168" s="16"/>
      <c r="C168" s="164" t="s">
        <v>104</v>
      </c>
      <c r="D168" s="70">
        <f>SUM(E167:$Q167)/D151</f>
        <v>391.98347107437974</v>
      </c>
      <c r="E168" s="70">
        <f>SUM(F167:$Q167)/E151</f>
        <v>398.18181818181773</v>
      </c>
      <c r="F168" s="70">
        <f>SUM(G167:$Q167)/F151</f>
        <v>404.99999999999943</v>
      </c>
      <c r="G168" s="29">
        <f>SUM(H167:$Q167)/G151</f>
        <v>412.4999999999995</v>
      </c>
      <c r="H168" s="70">
        <f>SUM(I167:$Q167)/H151</f>
        <v>420.7499999999995</v>
      </c>
      <c r="I168" s="70">
        <f>SUM(J167:$Q167)/I151</f>
        <v>429.16499999999957</v>
      </c>
      <c r="J168" s="70">
        <f>SUM(K167:$Q167)/J151</f>
        <v>437.7482999999996</v>
      </c>
      <c r="K168" s="70">
        <f>SUM(L167:$Q167)/K151</f>
        <v>446.5032659999996</v>
      </c>
      <c r="L168" s="70">
        <f>SUM(M167:$Q167)/L151</f>
        <v>455.4333313199996</v>
      </c>
      <c r="M168" s="29">
        <f>SUM(N167:$Q167)/M151</f>
        <v>464.54199794639965</v>
      </c>
      <c r="N168" s="70">
        <f>SUM(O167:$Q167)/N151</f>
        <v>473.8328379053276</v>
      </c>
      <c r="O168" s="70">
        <f>SUM(P167:$Q167)/O151</f>
        <v>483.3094946634343</v>
      </c>
      <c r="P168" s="70">
        <f>SUM(Q167:$Q167)/P151</f>
        <v>492.975684556703</v>
      </c>
      <c r="Q168" s="70">
        <f>SUM($Q167:R167)/Q151</f>
        <v>542.2732530123733</v>
      </c>
    </row>
    <row r="169" spans="1:17" ht="12" customHeight="1">
      <c r="A169" s="16"/>
      <c r="C169" s="158" t="s">
        <v>103</v>
      </c>
      <c r="D169" s="1">
        <f aca="true" t="shared" si="115" ref="D169:P169">D168+D154</f>
        <v>5227.336589030798</v>
      </c>
      <c r="E169" s="1">
        <f t="shared" si="115"/>
        <v>5474.070247933877</v>
      </c>
      <c r="F169" s="1">
        <f t="shared" si="115"/>
        <v>5881.477272727265</v>
      </c>
      <c r="G169" s="29">
        <f t="shared" si="115"/>
        <v>6020.624999999992</v>
      </c>
      <c r="H169" s="1">
        <f t="shared" si="115"/>
        <v>6141.037499999991</v>
      </c>
      <c r="I169" s="1">
        <f t="shared" si="115"/>
        <v>6263.858249999993</v>
      </c>
      <c r="J169" s="1">
        <f t="shared" si="115"/>
        <v>6389.135414999992</v>
      </c>
      <c r="K169" s="1">
        <f t="shared" si="115"/>
        <v>6516.918123299992</v>
      </c>
      <c r="L169" s="1">
        <f t="shared" si="115"/>
        <v>6647.256485765992</v>
      </c>
      <c r="M169" s="29">
        <f t="shared" si="115"/>
        <v>6780.201615481311</v>
      </c>
      <c r="N169" s="1">
        <f t="shared" si="115"/>
        <v>6915.805647790939</v>
      </c>
      <c r="O169" s="1">
        <f t="shared" si="115"/>
        <v>7054.121760746757</v>
      </c>
      <c r="P169" s="1">
        <f t="shared" si="115"/>
        <v>7195.204195961693</v>
      </c>
      <c r="Q169" s="1"/>
    </row>
    <row r="170" spans="1:41" s="65" customFormat="1" ht="12" customHeight="1" thickBot="1">
      <c r="A170" s="64"/>
      <c r="B170" s="65" t="s">
        <v>48</v>
      </c>
      <c r="C170" s="77" t="s">
        <v>49</v>
      </c>
      <c r="D170" s="112">
        <f aca="true" t="shared" si="116" ref="D170:P170">D169-D161</f>
        <v>3727.3365890307996</v>
      </c>
      <c r="E170" s="79">
        <f t="shared" si="116"/>
        <v>3974.070247933879</v>
      </c>
      <c r="F170" s="79">
        <f t="shared" si="116"/>
        <v>4381.477272727267</v>
      </c>
      <c r="G170" s="95">
        <f t="shared" si="116"/>
        <v>4520.624999999994</v>
      </c>
      <c r="H170" s="79">
        <f t="shared" si="116"/>
        <v>4611.037499999993</v>
      </c>
      <c r="I170" s="79">
        <f t="shared" si="116"/>
        <v>4703.258249999994</v>
      </c>
      <c r="J170" s="79">
        <f t="shared" si="116"/>
        <v>4797.3234149999935</v>
      </c>
      <c r="K170" s="79">
        <f t="shared" si="116"/>
        <v>4893.269883299994</v>
      </c>
      <c r="L170" s="79">
        <f t="shared" si="116"/>
        <v>4991.135280965994</v>
      </c>
      <c r="M170" s="95">
        <f t="shared" si="116"/>
        <v>5090.957986585312</v>
      </c>
      <c r="N170" s="79">
        <f t="shared" si="116"/>
        <v>5192.77714631702</v>
      </c>
      <c r="O170" s="79">
        <f t="shared" si="116"/>
        <v>5296.63268924336</v>
      </c>
      <c r="P170" s="79">
        <f t="shared" si="116"/>
        <v>5402.565343028227</v>
      </c>
      <c r="Q170" s="7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</row>
    <row r="171" spans="1:17" ht="10.5" hidden="1">
      <c r="A171" s="16"/>
      <c r="C171" s="6" t="s">
        <v>50</v>
      </c>
      <c r="D171" s="6"/>
      <c r="E171" s="44">
        <f aca="true" t="shared" si="117" ref="E171:Q171">E170/D170-1</f>
        <v>0.0661957011419878</v>
      </c>
      <c r="F171" s="44">
        <f t="shared" si="117"/>
        <v>0.10251631183550391</v>
      </c>
      <c r="G171" s="30">
        <f t="shared" si="117"/>
        <v>0.031758176206655</v>
      </c>
      <c r="H171" s="44">
        <f t="shared" si="117"/>
        <v>0.020000000000000018</v>
      </c>
      <c r="I171" s="44">
        <f t="shared" si="117"/>
        <v>0.02000000000000024</v>
      </c>
      <c r="J171" s="44">
        <f t="shared" si="117"/>
        <v>0.019999999999999796</v>
      </c>
      <c r="K171" s="44">
        <f t="shared" si="117"/>
        <v>0.02000000000000024</v>
      </c>
      <c r="L171" s="44">
        <f t="shared" si="117"/>
        <v>0.020000000000000018</v>
      </c>
      <c r="M171" s="30">
        <f t="shared" si="117"/>
        <v>0.019999999999999574</v>
      </c>
      <c r="N171" s="44">
        <f t="shared" si="117"/>
        <v>0.020000000000000462</v>
      </c>
      <c r="O171" s="44">
        <f t="shared" si="117"/>
        <v>0.019999999999999796</v>
      </c>
      <c r="P171" s="44">
        <f t="shared" si="117"/>
        <v>0.020000000000000018</v>
      </c>
      <c r="Q171" s="44">
        <f t="shared" si="117"/>
        <v>-1</v>
      </c>
    </row>
    <row r="172" spans="1:17" ht="9" customHeight="1">
      <c r="A172" s="16"/>
      <c r="C172" s="6"/>
      <c r="D172" s="6"/>
      <c r="E172" s="6"/>
      <c r="F172" s="6"/>
      <c r="G172" s="145"/>
      <c r="H172" s="6"/>
      <c r="I172" s="6"/>
      <c r="J172" s="6"/>
      <c r="K172" s="6"/>
      <c r="L172" s="6"/>
      <c r="M172" s="30"/>
      <c r="N172" s="6"/>
      <c r="O172" s="6"/>
      <c r="P172" s="6"/>
      <c r="Q172" s="44"/>
    </row>
    <row r="173" spans="1:17" ht="12.75" customHeight="1">
      <c r="A173" s="16"/>
      <c r="C173" s="4" t="s">
        <v>51</v>
      </c>
      <c r="D173" s="12">
        <f aca="true" t="shared" si="118" ref="D173:P173">D147+(D161/D170)*D147*(1-E$30)</f>
        <v>1.2615808840203302</v>
      </c>
      <c r="E173" s="12">
        <f t="shared" si="118"/>
        <v>1.2453404039616316</v>
      </c>
      <c r="F173" s="12">
        <f t="shared" si="118"/>
        <v>1.2225276862826466</v>
      </c>
      <c r="G173" s="12">
        <f t="shared" si="118"/>
        <v>1.2156781418498548</v>
      </c>
      <c r="H173" s="12">
        <f t="shared" si="118"/>
        <v>1.215678141849855</v>
      </c>
      <c r="I173" s="12">
        <f t="shared" si="118"/>
        <v>1.2156781418498548</v>
      </c>
      <c r="J173" s="12">
        <f t="shared" si="118"/>
        <v>1.2156781418498548</v>
      </c>
      <c r="K173" s="12">
        <f t="shared" si="118"/>
        <v>1.2156781418498548</v>
      </c>
      <c r="L173" s="12">
        <f t="shared" si="118"/>
        <v>1.2156781418498548</v>
      </c>
      <c r="M173" s="12">
        <f t="shared" si="118"/>
        <v>1.215678141849855</v>
      </c>
      <c r="N173" s="12">
        <f t="shared" si="118"/>
        <v>1.2156781418498548</v>
      </c>
      <c r="O173" s="12">
        <f t="shared" si="118"/>
        <v>1.215678141849855</v>
      </c>
      <c r="P173" s="12">
        <f t="shared" si="118"/>
        <v>1.215678141849855</v>
      </c>
      <c r="Q173" s="12"/>
    </row>
    <row r="174" spans="1:41" s="7" customFormat="1" ht="12.75" customHeight="1">
      <c r="A174" s="16"/>
      <c r="C174" s="7" t="s">
        <v>52</v>
      </c>
      <c r="D174" s="51">
        <f>D148+D149*D173</f>
        <v>0.1104632353608132</v>
      </c>
      <c r="E174" s="51">
        <f>E148+E149*E173</f>
        <v>0.10981361615846527</v>
      </c>
      <c r="F174" s="51">
        <f aca="true" t="shared" si="119" ref="F174:P174">F148+F149*F173</f>
        <v>0.10890110745130586</v>
      </c>
      <c r="G174" s="50">
        <f t="shared" si="119"/>
        <v>0.10862712567399418</v>
      </c>
      <c r="H174" s="51">
        <f t="shared" si="119"/>
        <v>0.1086271256739942</v>
      </c>
      <c r="I174" s="51">
        <f t="shared" si="119"/>
        <v>0.10862712567399418</v>
      </c>
      <c r="J174" s="51">
        <f t="shared" si="119"/>
        <v>0.10862712567399418</v>
      </c>
      <c r="K174" s="51">
        <f t="shared" si="119"/>
        <v>0.10862712567399418</v>
      </c>
      <c r="L174" s="51">
        <f t="shared" si="119"/>
        <v>0.10862712567399418</v>
      </c>
      <c r="M174" s="50">
        <f t="shared" si="119"/>
        <v>0.1086271256739942</v>
      </c>
      <c r="N174" s="51">
        <f t="shared" si="119"/>
        <v>0.10862712567399418</v>
      </c>
      <c r="O174" s="51">
        <f t="shared" si="119"/>
        <v>0.1086271256739942</v>
      </c>
      <c r="P174" s="51">
        <f t="shared" si="119"/>
        <v>0.1086271256739942</v>
      </c>
      <c r="Q174" s="51">
        <f>P174</f>
        <v>0.1086271256739942</v>
      </c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</row>
    <row r="175" spans="1:17" ht="12.75" customHeight="1" hidden="1">
      <c r="A175" s="16"/>
      <c r="C175" s="21" t="s">
        <v>53</v>
      </c>
      <c r="D175" s="12">
        <v>1</v>
      </c>
      <c r="E175" s="12">
        <f>1/(1+D174)</f>
        <v>0.9005250855289042</v>
      </c>
      <c r="F175" s="46">
        <f aca="true" t="shared" si="120" ref="F175:Q175">E175/(1+E174)</f>
        <v>0.8114201091224693</v>
      </c>
      <c r="G175" s="96">
        <f t="shared" si="120"/>
        <v>0.7317335185888977</v>
      </c>
      <c r="H175" s="46">
        <f t="shared" si="120"/>
        <v>0.6600357339660415</v>
      </c>
      <c r="I175" s="46">
        <f t="shared" si="120"/>
        <v>0.5953631466168305</v>
      </c>
      <c r="J175" s="46">
        <f t="shared" si="120"/>
        <v>0.5370274033795422</v>
      </c>
      <c r="K175" s="46">
        <f t="shared" si="120"/>
        <v>0.48440759831945696</v>
      </c>
      <c r="L175" s="46">
        <f t="shared" si="120"/>
        <v>0.43694366401594176</v>
      </c>
      <c r="M175" s="96">
        <f t="shared" si="120"/>
        <v>0.3941304103941171</v>
      </c>
      <c r="N175" s="46">
        <f t="shared" si="120"/>
        <v>0.35551214765244354</v>
      </c>
      <c r="O175" s="46">
        <f t="shared" si="120"/>
        <v>0.3206778360544882</v>
      </c>
      <c r="P175" s="46">
        <f t="shared" si="120"/>
        <v>0.28925671096089306</v>
      </c>
      <c r="Q175" s="46">
        <f t="shared" si="120"/>
        <v>0.2609143365358649</v>
      </c>
    </row>
    <row r="176" spans="1:17" ht="12.75" customHeight="1" hidden="1">
      <c r="A176" s="16"/>
      <c r="B176" s="42"/>
      <c r="C176" s="156" t="s">
        <v>122</v>
      </c>
      <c r="D176" s="42"/>
      <c r="E176" s="23">
        <f>E$40</f>
        <v>165</v>
      </c>
      <c r="F176" s="23">
        <f aca="true" t="shared" si="121" ref="F176:P176">F$40</f>
        <v>29</v>
      </c>
      <c r="G176" s="23">
        <f t="shared" si="121"/>
        <v>338</v>
      </c>
      <c r="H176" s="23">
        <f t="shared" si="121"/>
        <v>400.6500000000001</v>
      </c>
      <c r="I176" s="23">
        <f t="shared" si="121"/>
        <v>408.663</v>
      </c>
      <c r="J176" s="23">
        <f t="shared" si="121"/>
        <v>416.83626000000015</v>
      </c>
      <c r="K176" s="23">
        <f t="shared" si="121"/>
        <v>425.17298519999997</v>
      </c>
      <c r="L176" s="23">
        <f t="shared" si="121"/>
        <v>433.6764449039996</v>
      </c>
      <c r="M176" s="23">
        <f t="shared" si="121"/>
        <v>442.3499738020803</v>
      </c>
      <c r="N176" s="23">
        <f t="shared" si="121"/>
        <v>451.19697327812173</v>
      </c>
      <c r="O176" s="23">
        <f t="shared" si="121"/>
        <v>460.2209127436847</v>
      </c>
      <c r="P176" s="23">
        <f t="shared" si="121"/>
        <v>469.42533099855723</v>
      </c>
      <c r="Q176" s="1">
        <f>P176*(1+O$5)+P176*(1+O$5)*(1+O$5)/(P174-O$5)</f>
        <v>5989.430487507321</v>
      </c>
    </row>
    <row r="177" spans="1:41" s="134" customFormat="1" ht="12.75" customHeight="1" hidden="1">
      <c r="A177" s="133"/>
      <c r="C177" s="135" t="s">
        <v>54</v>
      </c>
      <c r="D177" s="136"/>
      <c r="E177" s="136">
        <f>E176*E175</f>
        <v>148.58663911226918</v>
      </c>
      <c r="F177" s="136">
        <f>F176*F175</f>
        <v>23.53118316455161</v>
      </c>
      <c r="G177" s="137">
        <f aca="true" t="shared" si="122" ref="G177:Q177">G176*G175</f>
        <v>247.32592928304743</v>
      </c>
      <c r="H177" s="136">
        <f t="shared" si="122"/>
        <v>264.4433168134946</v>
      </c>
      <c r="I177" s="136">
        <f t="shared" si="122"/>
        <v>243.30288958587383</v>
      </c>
      <c r="J177" s="136">
        <f t="shared" si="122"/>
        <v>223.85249434223982</v>
      </c>
      <c r="K177" s="136">
        <f t="shared" si="122"/>
        <v>205.957024631046</v>
      </c>
      <c r="L177" s="136">
        <f t="shared" si="122"/>
        <v>189.49217483376128</v>
      </c>
      <c r="M177" s="137">
        <f t="shared" si="122"/>
        <v>174.34357671244086</v>
      </c>
      <c r="N177" s="136">
        <f t="shared" si="122"/>
        <v>160.40600498438724</v>
      </c>
      <c r="O177" s="136">
        <f t="shared" si="122"/>
        <v>147.58264640566625</v>
      </c>
      <c r="P177" s="136">
        <f t="shared" si="122"/>
        <v>135.78442728637123</v>
      </c>
      <c r="Q177" s="136">
        <f t="shared" si="122"/>
        <v>1562.7282818756544</v>
      </c>
      <c r="R177" s="138"/>
      <c r="S177" s="138"/>
      <c r="T177" s="138"/>
      <c r="U177" s="138"/>
      <c r="V177" s="138"/>
      <c r="W177" s="138"/>
      <c r="X177" s="138"/>
      <c r="Y177" s="138"/>
      <c r="Z177" s="138"/>
      <c r="AA177" s="138"/>
      <c r="AB177" s="138"/>
      <c r="AC177" s="138"/>
      <c r="AD177" s="138"/>
      <c r="AE177" s="138"/>
      <c r="AF177" s="138"/>
      <c r="AG177" s="138"/>
      <c r="AH177" s="138"/>
      <c r="AI177" s="138"/>
      <c r="AJ177" s="138"/>
      <c r="AK177" s="138"/>
      <c r="AL177" s="138"/>
      <c r="AM177" s="138"/>
      <c r="AN177" s="138"/>
      <c r="AO177" s="138"/>
    </row>
    <row r="178" spans="1:41" s="65" customFormat="1" ht="12.75" customHeight="1" thickBot="1">
      <c r="A178" s="64"/>
      <c r="C178" s="66" t="s">
        <v>55</v>
      </c>
      <c r="D178" s="79">
        <f>SUM(E177:$Q177)/D175</f>
        <v>3727.3365890308037</v>
      </c>
      <c r="E178" s="79">
        <f>SUM(F177:$Q177)/E175</f>
        <v>3974.070247933884</v>
      </c>
      <c r="F178" s="79">
        <f>SUM(G177:$Q177)/F175</f>
        <v>4381.477272727273</v>
      </c>
      <c r="G178" s="95">
        <f>SUM(H177:$Q177)/G175</f>
        <v>4520.625</v>
      </c>
      <c r="H178" s="79">
        <f>SUM(I177:$Q177)/H175</f>
        <v>4611.037499999999</v>
      </c>
      <c r="I178" s="79">
        <f>SUM(J177:$Q177)/I175</f>
        <v>4703.258249999998</v>
      </c>
      <c r="J178" s="79">
        <f>SUM(K177:$Q177)/J175</f>
        <v>4797.323414999998</v>
      </c>
      <c r="K178" s="79">
        <f>SUM(L177:$Q177)/K175</f>
        <v>4893.269883299998</v>
      </c>
      <c r="L178" s="79">
        <f>SUM(M177:$Q177)/L175</f>
        <v>4991.1352809659975</v>
      </c>
      <c r="M178" s="95">
        <f>SUM(N177:$Q177)/M175</f>
        <v>5090.9579865853175</v>
      </c>
      <c r="N178" s="79">
        <f>SUM(O177:$Q177)/N175</f>
        <v>5192.777146317023</v>
      </c>
      <c r="O178" s="79">
        <f>SUM(P177:$Q177)/O175</f>
        <v>5296.632689243362</v>
      </c>
      <c r="P178" s="79">
        <f>SUM(Q177:$Q177)/P175</f>
        <v>5402.565343028228</v>
      </c>
      <c r="Q178" s="7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</row>
    <row r="179" spans="1:17" ht="12" customHeight="1">
      <c r="A179" s="16"/>
      <c r="C179" s="89" t="s">
        <v>56</v>
      </c>
      <c r="D179" s="68">
        <f>D178</f>
        <v>3727.3365890308037</v>
      </c>
      <c r="E179" s="68">
        <f aca="true" t="shared" si="123" ref="E179:P179">D179*(1+D174)-E176</f>
        <v>3974.0702479338843</v>
      </c>
      <c r="F179" s="68">
        <f t="shared" si="123"/>
        <v>4381.477272727273</v>
      </c>
      <c r="G179" s="100">
        <f t="shared" si="123"/>
        <v>4520.625</v>
      </c>
      <c r="H179" s="68">
        <f t="shared" si="123"/>
        <v>4611.0375</v>
      </c>
      <c r="I179" s="68">
        <f t="shared" si="123"/>
        <v>4703.258250000001</v>
      </c>
      <c r="J179" s="68">
        <f t="shared" si="123"/>
        <v>4797.323415000001</v>
      </c>
      <c r="K179" s="68">
        <f t="shared" si="123"/>
        <v>4893.2698833</v>
      </c>
      <c r="L179" s="68">
        <f t="shared" si="123"/>
        <v>4991.135280966001</v>
      </c>
      <c r="M179" s="100">
        <f t="shared" si="123"/>
        <v>5090.957986585321</v>
      </c>
      <c r="N179" s="68">
        <f t="shared" si="123"/>
        <v>5192.7771463170275</v>
      </c>
      <c r="O179" s="68">
        <f t="shared" si="123"/>
        <v>5296.632689243367</v>
      </c>
      <c r="P179" s="68">
        <f t="shared" si="123"/>
        <v>5402.565343028235</v>
      </c>
      <c r="Q179" s="68"/>
    </row>
    <row r="180" spans="1:13" ht="9" customHeight="1">
      <c r="A180" s="16"/>
      <c r="D180" s="41"/>
      <c r="E180" s="5"/>
      <c r="M180" s="31"/>
    </row>
    <row r="181" spans="1:41" s="7" customFormat="1" ht="13.5" customHeight="1">
      <c r="A181" s="16"/>
      <c r="C181" s="7" t="s">
        <v>57</v>
      </c>
      <c r="D181" s="49">
        <f aca="true" t="shared" si="124" ref="D181:P181">(D179*D174+D161*D163-D157*D162*E$30)/(D179+D161)</f>
        <v>0.09368703364745097</v>
      </c>
      <c r="E181" s="49">
        <f t="shared" si="124"/>
        <v>0.09397157900696373</v>
      </c>
      <c r="F181" s="49">
        <f t="shared" si="124"/>
        <v>0.09438916475066175</v>
      </c>
      <c r="G181" s="49">
        <f t="shared" si="124"/>
        <v>0.09451884148240422</v>
      </c>
      <c r="H181" s="49">
        <f t="shared" si="124"/>
        <v>0.09451884148240425</v>
      </c>
      <c r="I181" s="49">
        <f t="shared" si="124"/>
        <v>0.09451884148240422</v>
      </c>
      <c r="J181" s="49">
        <f t="shared" si="124"/>
        <v>0.09451884148240423</v>
      </c>
      <c r="K181" s="49">
        <f t="shared" si="124"/>
        <v>0.09451884148240425</v>
      </c>
      <c r="L181" s="49">
        <f t="shared" si="124"/>
        <v>0.09451884148240423</v>
      </c>
      <c r="M181" s="49">
        <f t="shared" si="124"/>
        <v>0.09451884148240426</v>
      </c>
      <c r="N181" s="49">
        <f t="shared" si="124"/>
        <v>0.09451884148240423</v>
      </c>
      <c r="O181" s="49">
        <f t="shared" si="124"/>
        <v>0.09451884148240425</v>
      </c>
      <c r="P181" s="49">
        <f t="shared" si="124"/>
        <v>0.09451884148240422</v>
      </c>
      <c r="Q181" s="49">
        <f>P181</f>
        <v>0.09451884148240422</v>
      </c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</row>
    <row r="182" spans="1:17" ht="13.5" customHeight="1" hidden="1">
      <c r="A182" s="16"/>
      <c r="C182" s="21" t="s">
        <v>58</v>
      </c>
      <c r="D182" s="12">
        <v>1</v>
      </c>
      <c r="E182" s="12">
        <f>1/(1+D181)</f>
        <v>0.9143383520466506</v>
      </c>
      <c r="F182" s="12">
        <f aca="true" t="shared" si="125" ref="F182:Q182">E182/(1+E181)</f>
        <v>0.8357971720587362</v>
      </c>
      <c r="G182" s="98">
        <f t="shared" si="125"/>
        <v>0.7637111175613279</v>
      </c>
      <c r="H182" s="12">
        <f t="shared" si="125"/>
        <v>0.6977596808904322</v>
      </c>
      <c r="I182" s="12">
        <f t="shared" si="125"/>
        <v>0.6375035809757227</v>
      </c>
      <c r="J182" s="12">
        <f t="shared" si="125"/>
        <v>0.5824509883377565</v>
      </c>
      <c r="K182" s="12">
        <f t="shared" si="125"/>
        <v>0.5321525461808326</v>
      </c>
      <c r="L182" s="12">
        <f t="shared" si="125"/>
        <v>0.48619770259970224</v>
      </c>
      <c r="M182" s="98">
        <f t="shared" si="125"/>
        <v>0.4442113595241553</v>
      </c>
      <c r="N182" s="12">
        <f t="shared" si="125"/>
        <v>0.4058508110491002</v>
      </c>
      <c r="O182" s="12">
        <f t="shared" si="125"/>
        <v>0.3708029461598124</v>
      </c>
      <c r="P182" s="12">
        <f t="shared" si="125"/>
        <v>0.3387816930201046</v>
      </c>
      <c r="Q182" s="12">
        <f t="shared" si="125"/>
        <v>0.309525683962884</v>
      </c>
    </row>
    <row r="183" spans="1:17" ht="13.5" customHeight="1" hidden="1">
      <c r="A183" s="45"/>
      <c r="B183" s="42"/>
      <c r="C183" s="42" t="s">
        <v>31</v>
      </c>
      <c r="D183" s="42"/>
      <c r="E183" s="23">
        <f>E$41</f>
        <v>243</v>
      </c>
      <c r="F183" s="23">
        <f aca="true" t="shared" si="126" ref="F183:P183">F$41</f>
        <v>107</v>
      </c>
      <c r="G183" s="23">
        <f t="shared" si="126"/>
        <v>416</v>
      </c>
      <c r="H183" s="23">
        <f t="shared" si="126"/>
        <v>448.6500000000001</v>
      </c>
      <c r="I183" s="23">
        <f t="shared" si="126"/>
        <v>457.6229999999999</v>
      </c>
      <c r="J183" s="23">
        <f t="shared" si="126"/>
        <v>466.7754600000002</v>
      </c>
      <c r="K183" s="23">
        <f t="shared" si="126"/>
        <v>476.1109691999999</v>
      </c>
      <c r="L183" s="23">
        <f t="shared" si="126"/>
        <v>485.63318858399964</v>
      </c>
      <c r="M183" s="23">
        <f t="shared" si="126"/>
        <v>495.3458523556802</v>
      </c>
      <c r="N183" s="23">
        <f t="shared" si="126"/>
        <v>505.2527694027938</v>
      </c>
      <c r="O183" s="23">
        <f t="shared" si="126"/>
        <v>515.35782479085</v>
      </c>
      <c r="P183" s="23">
        <f t="shared" si="126"/>
        <v>525.6649812866659</v>
      </c>
      <c r="Q183" s="1">
        <f>P183*(1+O$5)+P183*(1+O$5)*(1+O$5)/(P181-O$5)</f>
        <v>7875.286560793329</v>
      </c>
    </row>
    <row r="184" spans="1:17" ht="13.5" customHeight="1" hidden="1">
      <c r="A184" s="16"/>
      <c r="C184" s="21" t="s">
        <v>38</v>
      </c>
      <c r="D184" s="1"/>
      <c r="E184" s="1">
        <f aca="true" t="shared" si="127" ref="E184:Q184">E183*E182</f>
        <v>222.18421954733608</v>
      </c>
      <c r="F184" s="1">
        <f t="shared" si="127"/>
        <v>89.43029741028477</v>
      </c>
      <c r="G184" s="29">
        <f t="shared" si="127"/>
        <v>317.7038249055124</v>
      </c>
      <c r="H184" s="1">
        <f t="shared" si="127"/>
        <v>313.04988083149243</v>
      </c>
      <c r="I184" s="1">
        <f t="shared" si="127"/>
        <v>291.7363012368531</v>
      </c>
      <c r="J184" s="1">
        <f t="shared" si="127"/>
        <v>271.8738280088111</v>
      </c>
      <c r="K184" s="1">
        <f t="shared" si="127"/>
        <v>253.36366452440393</v>
      </c>
      <c r="L184" s="1">
        <f t="shared" si="127"/>
        <v>236.11374059570858</v>
      </c>
      <c r="M184" s="29">
        <f t="shared" si="127"/>
        <v>220.03825450956822</v>
      </c>
      <c r="N184" s="1">
        <f t="shared" si="127"/>
        <v>205.05724624692786</v>
      </c>
      <c r="O184" s="1">
        <f t="shared" si="127"/>
        <v>191.0961997589596</v>
      </c>
      <c r="P184" s="1">
        <f t="shared" si="127"/>
        <v>178.08567232167826</v>
      </c>
      <c r="Q184" s="1">
        <f t="shared" si="127"/>
        <v>2437.6034591332636</v>
      </c>
    </row>
    <row r="185" spans="1:17" ht="13.5" customHeight="1">
      <c r="A185" s="16"/>
      <c r="B185" s="4" t="s">
        <v>59</v>
      </c>
      <c r="C185" s="42" t="s">
        <v>60</v>
      </c>
      <c r="D185" s="18">
        <f>SUM(E184:$Q184)/D182</f>
        <v>5227.3365890308</v>
      </c>
      <c r="E185" s="18">
        <f>SUM(F184:$Q184)/E182</f>
        <v>5474.070247933879</v>
      </c>
      <c r="F185" s="18">
        <f>SUM(G184:$Q184)/F182</f>
        <v>5881.4772727272675</v>
      </c>
      <c r="G185" s="91">
        <f>SUM(H184:$Q184)/G182</f>
        <v>6020.624999999996</v>
      </c>
      <c r="H185" s="18">
        <f>SUM(I184:$Q184)/H182</f>
        <v>6141.037499999995</v>
      </c>
      <c r="I185" s="18">
        <f>SUM(J184:$Q184)/I182</f>
        <v>6263.858249999996</v>
      </c>
      <c r="J185" s="18">
        <f>SUM(K184:$Q184)/J182</f>
        <v>6389.135414999996</v>
      </c>
      <c r="K185" s="18">
        <f>SUM(L184:$Q184)/K182</f>
        <v>6516.918123299996</v>
      </c>
      <c r="L185" s="18">
        <f>SUM(M184:$Q184)/L182</f>
        <v>6647.256485765996</v>
      </c>
      <c r="M185" s="91">
        <f>SUM(N184:$Q184)/M182</f>
        <v>6780.201615481316</v>
      </c>
      <c r="N185" s="18">
        <f>SUM(O184:$Q184)/N182</f>
        <v>6915.805647790941</v>
      </c>
      <c r="O185" s="18">
        <f>SUM(P184:$Q184)/O182</f>
        <v>7054.121760746761</v>
      </c>
      <c r="P185" s="18">
        <f>SUM(Q184:$Q184)/P182</f>
        <v>7195.204195961695</v>
      </c>
      <c r="Q185" s="18"/>
    </row>
    <row r="186" spans="1:41" s="65" customFormat="1" ht="12.75" customHeight="1" thickBot="1">
      <c r="A186" s="64"/>
      <c r="B186" s="65" t="s">
        <v>48</v>
      </c>
      <c r="C186" s="77" t="s">
        <v>61</v>
      </c>
      <c r="D186" s="79">
        <f aca="true" t="shared" si="128" ref="D186:P186">D185-D161</f>
        <v>3727.3365890308014</v>
      </c>
      <c r="E186" s="79">
        <f t="shared" si="128"/>
        <v>3974.0702479338806</v>
      </c>
      <c r="F186" s="79">
        <f t="shared" si="128"/>
        <v>4381.477272727269</v>
      </c>
      <c r="G186" s="95">
        <f t="shared" si="128"/>
        <v>4520.624999999998</v>
      </c>
      <c r="H186" s="79">
        <f t="shared" si="128"/>
        <v>4611.037499999997</v>
      </c>
      <c r="I186" s="79">
        <f t="shared" si="128"/>
        <v>4703.258249999997</v>
      </c>
      <c r="J186" s="79">
        <f t="shared" si="128"/>
        <v>4797.323414999998</v>
      </c>
      <c r="K186" s="79">
        <f t="shared" si="128"/>
        <v>4893.269883299998</v>
      </c>
      <c r="L186" s="79">
        <f t="shared" si="128"/>
        <v>4991.135280965998</v>
      </c>
      <c r="M186" s="95">
        <f t="shared" si="128"/>
        <v>5090.9579865853175</v>
      </c>
      <c r="N186" s="79">
        <f t="shared" si="128"/>
        <v>5192.777146317023</v>
      </c>
      <c r="O186" s="79">
        <f t="shared" si="128"/>
        <v>5296.6326892433635</v>
      </c>
      <c r="P186" s="79">
        <f t="shared" si="128"/>
        <v>5402.565343028231</v>
      </c>
      <c r="Q186" s="108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</row>
    <row r="187" spans="1:17" ht="12.75" customHeight="1">
      <c r="A187" s="16"/>
      <c r="C187" s="72" t="s">
        <v>62</v>
      </c>
      <c r="D187" s="70">
        <f>D185</f>
        <v>5227.3365890308</v>
      </c>
      <c r="E187" s="70">
        <f aca="true" t="shared" si="129" ref="E187:P187">D187*(1+D181)-E140</f>
        <v>1507.7107438016492</v>
      </c>
      <c r="F187" s="70">
        <f t="shared" si="129"/>
        <v>-2971.402751463</v>
      </c>
      <c r="G187" s="29">
        <f t="shared" si="129"/>
        <v>-8016.245975311411</v>
      </c>
      <c r="H187" s="70">
        <f t="shared" si="129"/>
        <v>-13633.59475793583</v>
      </c>
      <c r="I187" s="70">
        <f t="shared" si="129"/>
        <v>-19879.082089696505</v>
      </c>
      <c r="J187" s="70">
        <f t="shared" si="129"/>
        <v>-26814.02276354823</v>
      </c>
      <c r="K187" s="70">
        <f t="shared" si="129"/>
        <v>-34505.565852941625</v>
      </c>
      <c r="L187" s="70">
        <f t="shared" si="129"/>
        <v>-43027.24693880248</v>
      </c>
      <c r="M187" s="29">
        <f t="shared" si="129"/>
        <v>-52459.592547916334</v>
      </c>
      <c r="N187" s="70">
        <f t="shared" si="129"/>
        <v>-62890.78173799089</v>
      </c>
      <c r="O187" s="70">
        <f t="shared" si="129"/>
        <v>-74417.3702311512</v>
      </c>
      <c r="P187" s="70">
        <f t="shared" si="129"/>
        <v>-87145.0830081967</v>
      </c>
      <c r="Q187" s="88"/>
    </row>
    <row r="188" spans="1:17" ht="6.75" customHeight="1">
      <c r="A188" s="16"/>
      <c r="C188" s="6"/>
      <c r="D188" s="6"/>
      <c r="E188" s="44"/>
      <c r="F188" s="44"/>
      <c r="G188" s="30"/>
      <c r="H188" s="44"/>
      <c r="I188" s="44"/>
      <c r="J188" s="44"/>
      <c r="K188" s="44"/>
      <c r="L188" s="44"/>
      <c r="M188" s="30"/>
      <c r="N188" s="44"/>
      <c r="O188" s="44"/>
      <c r="P188" s="44"/>
      <c r="Q188" s="44"/>
    </row>
    <row r="189" spans="1:41" s="7" customFormat="1" ht="13.5" customHeight="1">
      <c r="A189" s="16"/>
      <c r="C189" s="7" t="s">
        <v>63</v>
      </c>
      <c r="D189" s="49">
        <f aca="true" t="shared" si="130" ref="D189:P189">(D161*D163+D170*D174)/(D161+D170)</f>
        <v>0.10172171809614974</v>
      </c>
      <c r="E189" s="49">
        <f t="shared" si="130"/>
        <v>0.10164411481628265</v>
      </c>
      <c r="F189" s="49">
        <f t="shared" si="130"/>
        <v>0.10153022779527407</v>
      </c>
      <c r="G189" s="132">
        <f t="shared" si="130"/>
        <v>0.10149486141388975</v>
      </c>
      <c r="H189" s="49">
        <f t="shared" si="130"/>
        <v>0.10149486141388976</v>
      </c>
      <c r="I189" s="49">
        <f t="shared" si="130"/>
        <v>0.10149486141388973</v>
      </c>
      <c r="J189" s="49">
        <f t="shared" si="130"/>
        <v>0.10149486141388976</v>
      </c>
      <c r="K189" s="49">
        <f t="shared" si="130"/>
        <v>0.10149486141388975</v>
      </c>
      <c r="L189" s="49">
        <f t="shared" si="130"/>
        <v>0.10149486141388973</v>
      </c>
      <c r="M189" s="132">
        <f t="shared" si="130"/>
        <v>0.10149486141388976</v>
      </c>
      <c r="N189" s="49">
        <f t="shared" si="130"/>
        <v>0.10149486141388975</v>
      </c>
      <c r="O189" s="49">
        <f t="shared" si="130"/>
        <v>0.10149486141388975</v>
      </c>
      <c r="P189" s="49">
        <f t="shared" si="130"/>
        <v>0.10149486141388975</v>
      </c>
      <c r="Q189" s="49">
        <f>P189</f>
        <v>0.10149486141388975</v>
      </c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</row>
    <row r="190" spans="1:17" ht="13.5" customHeight="1" hidden="1">
      <c r="A190" s="16"/>
      <c r="C190" s="21" t="s">
        <v>64</v>
      </c>
      <c r="D190" s="12">
        <v>1</v>
      </c>
      <c r="E190" s="12">
        <f>1/(1+D189)</f>
        <v>0.9076702252253573</v>
      </c>
      <c r="F190" s="12">
        <f aca="true" t="shared" si="131" ref="F190:Q190">E190/(1+E189)</f>
        <v>0.8239232734218586</v>
      </c>
      <c r="G190" s="98">
        <f t="shared" si="131"/>
        <v>0.7479806297017839</v>
      </c>
      <c r="H190" s="12">
        <f t="shared" si="131"/>
        <v>0.6790595724992021</v>
      </c>
      <c r="I190" s="12">
        <f t="shared" si="131"/>
        <v>0.6164890970326947</v>
      </c>
      <c r="J190" s="12">
        <f t="shared" si="131"/>
        <v>0.5596840426848322</v>
      </c>
      <c r="K190" s="12">
        <f t="shared" si="131"/>
        <v>0.5081131671975447</v>
      </c>
      <c r="L190" s="12">
        <f t="shared" si="131"/>
        <v>0.46129417848152793</v>
      </c>
      <c r="M190" s="98">
        <f t="shared" si="131"/>
        <v>0.41878922420882303</v>
      </c>
      <c r="N190" s="12">
        <f t="shared" si="131"/>
        <v>0.3802007970071336</v>
      </c>
      <c r="O190" s="12">
        <f t="shared" si="131"/>
        <v>0.3451680169611541</v>
      </c>
      <c r="P190" s="12">
        <f t="shared" si="131"/>
        <v>0.31336325665477277</v>
      </c>
      <c r="Q190" s="12">
        <f t="shared" si="131"/>
        <v>0.28448907719146016</v>
      </c>
    </row>
    <row r="191" spans="1:17" ht="13.5" customHeight="1" hidden="1">
      <c r="A191" s="45"/>
      <c r="B191" s="42"/>
      <c r="C191" s="42" t="s">
        <v>33</v>
      </c>
      <c r="D191" s="42"/>
      <c r="E191" s="23">
        <f>E$43</f>
        <v>285</v>
      </c>
      <c r="F191" s="23">
        <f aca="true" t="shared" si="132" ref="F191:P191">F$43</f>
        <v>149</v>
      </c>
      <c r="G191" s="23">
        <f t="shared" si="132"/>
        <v>458</v>
      </c>
      <c r="H191" s="23">
        <f t="shared" si="132"/>
        <v>490.6500000000001</v>
      </c>
      <c r="I191" s="23">
        <f t="shared" si="132"/>
        <v>500.46299999999985</v>
      </c>
      <c r="J191" s="23">
        <f t="shared" si="132"/>
        <v>510.4722600000002</v>
      </c>
      <c r="K191" s="23">
        <f t="shared" si="132"/>
        <v>520.6817051999999</v>
      </c>
      <c r="L191" s="23">
        <f t="shared" si="132"/>
        <v>531.0953393039996</v>
      </c>
      <c r="M191" s="23">
        <f t="shared" si="132"/>
        <v>541.7172460900803</v>
      </c>
      <c r="N191" s="23">
        <f t="shared" si="132"/>
        <v>552.5515910118818</v>
      </c>
      <c r="O191" s="23">
        <f t="shared" si="132"/>
        <v>563.6026228321198</v>
      </c>
      <c r="P191" s="23">
        <f t="shared" si="132"/>
        <v>574.8746752887611</v>
      </c>
      <c r="Q191" s="1">
        <f>P191*(1+O$5)+P191*(1+O$5)*(1+O$5)/(P189-O$5)</f>
        <v>7925.480448675465</v>
      </c>
    </row>
    <row r="192" spans="1:17" ht="13.5" customHeight="1" hidden="1">
      <c r="A192" s="16"/>
      <c r="C192" s="21" t="s">
        <v>65</v>
      </c>
      <c r="D192" s="1"/>
      <c r="E192" s="1">
        <f aca="true" t="shared" si="133" ref="E192:Q192">E191*E190</f>
        <v>258.68601418922685</v>
      </c>
      <c r="F192" s="1">
        <f t="shared" si="133"/>
        <v>122.76456773985693</v>
      </c>
      <c r="G192" s="29">
        <f t="shared" si="133"/>
        <v>342.575128403417</v>
      </c>
      <c r="H192" s="1">
        <f t="shared" si="133"/>
        <v>333.1805792467336</v>
      </c>
      <c r="I192" s="1">
        <f t="shared" si="133"/>
        <v>308.52998296827343</v>
      </c>
      <c r="J192" s="1">
        <f t="shared" si="133"/>
        <v>285.70317815526283</v>
      </c>
      <c r="K192" s="1">
        <f t="shared" si="133"/>
        <v>264.56523033099023</v>
      </c>
      <c r="L192" s="1">
        <f t="shared" si="133"/>
        <v>244.99118823960683</v>
      </c>
      <c r="M192" s="29">
        <f t="shared" si="133"/>
        <v>226.8653452306048</v>
      </c>
      <c r="N192" s="1">
        <f t="shared" si="133"/>
        <v>210.08055529027718</v>
      </c>
      <c r="O192" s="1">
        <f t="shared" si="133"/>
        <v>194.53759967706807</v>
      </c>
      <c r="P192" s="1">
        <f t="shared" si="133"/>
        <v>180.1446004168412</v>
      </c>
      <c r="Q192" s="1">
        <f t="shared" si="133"/>
        <v>2254.712619142643</v>
      </c>
    </row>
    <row r="193" spans="1:17" ht="13.5" customHeight="1">
      <c r="A193" s="16"/>
      <c r="B193" s="4" t="s">
        <v>59</v>
      </c>
      <c r="C193" s="42" t="s">
        <v>66</v>
      </c>
      <c r="D193" s="18">
        <f>SUM(E192:$Q192)/D190</f>
        <v>5227.336589030801</v>
      </c>
      <c r="E193" s="18">
        <f>SUM(F192:$Q192)/E190</f>
        <v>5474.0702479338825</v>
      </c>
      <c r="F193" s="18">
        <f>SUM(G192:$Q192)/F190</f>
        <v>5881.47727272727</v>
      </c>
      <c r="G193" s="91">
        <f>SUM(H192:$Q192)/G190</f>
        <v>6020.624999999998</v>
      </c>
      <c r="H193" s="18">
        <f>SUM(I192:$Q192)/H190</f>
        <v>6141.037499999998</v>
      </c>
      <c r="I193" s="18">
        <f>SUM(J192:$Q192)/I190</f>
        <v>6263.8582499999975</v>
      </c>
      <c r="J193" s="18">
        <f>SUM(K192:$Q192)/J190</f>
        <v>6389.135414999997</v>
      </c>
      <c r="K193" s="18">
        <f>SUM(L192:$Q192)/K190</f>
        <v>6516.918123299996</v>
      </c>
      <c r="L193" s="18">
        <f>SUM(M192:$Q192)/L190</f>
        <v>6647.256485765998</v>
      </c>
      <c r="M193" s="91">
        <f>SUM(N192:$Q192)/M190</f>
        <v>6780.201615481316</v>
      </c>
      <c r="N193" s="18">
        <f>SUM(O192:$Q192)/N190</f>
        <v>6915.805647790941</v>
      </c>
      <c r="O193" s="18">
        <f>SUM(P192:$Q192)/O190</f>
        <v>7054.12176074676</v>
      </c>
      <c r="P193" s="18">
        <f>SUM(Q192:$Q192)/P190</f>
        <v>7195.204195961695</v>
      </c>
      <c r="Q193" s="18"/>
    </row>
    <row r="194" spans="1:41" s="65" customFormat="1" ht="12.75" customHeight="1" thickBot="1">
      <c r="A194" s="64"/>
      <c r="B194" s="65" t="s">
        <v>48</v>
      </c>
      <c r="C194" s="77" t="s">
        <v>67</v>
      </c>
      <c r="D194" s="79">
        <f aca="true" t="shared" si="134" ref="D194:P194">D193-D161</f>
        <v>3727.336589030803</v>
      </c>
      <c r="E194" s="79">
        <f t="shared" si="134"/>
        <v>3974.0702479338843</v>
      </c>
      <c r="F194" s="79">
        <f t="shared" si="134"/>
        <v>4381.477272727272</v>
      </c>
      <c r="G194" s="95">
        <f t="shared" si="134"/>
        <v>4520.625</v>
      </c>
      <c r="H194" s="79">
        <f t="shared" si="134"/>
        <v>4611.037499999999</v>
      </c>
      <c r="I194" s="79">
        <f t="shared" si="134"/>
        <v>4703.258249999999</v>
      </c>
      <c r="J194" s="79">
        <f t="shared" si="134"/>
        <v>4797.323414999999</v>
      </c>
      <c r="K194" s="79">
        <f t="shared" si="134"/>
        <v>4893.269883299998</v>
      </c>
      <c r="L194" s="79">
        <f t="shared" si="134"/>
        <v>4991.135280966</v>
      </c>
      <c r="M194" s="95">
        <f t="shared" si="134"/>
        <v>5090.9579865853175</v>
      </c>
      <c r="N194" s="79">
        <f t="shared" si="134"/>
        <v>5192.777146317023</v>
      </c>
      <c r="O194" s="79">
        <f t="shared" si="134"/>
        <v>5296.632689243363</v>
      </c>
      <c r="P194" s="79">
        <f t="shared" si="134"/>
        <v>5402.565343028231</v>
      </c>
      <c r="Q194" s="108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</row>
    <row r="195" spans="1:17" ht="7.5" customHeight="1">
      <c r="A195" s="16"/>
      <c r="D195" s="40"/>
      <c r="E195" s="40"/>
      <c r="F195" s="40"/>
      <c r="G195" s="33"/>
      <c r="H195" s="40"/>
      <c r="I195" s="40"/>
      <c r="J195" s="22"/>
      <c r="K195" s="22"/>
      <c r="L195" s="22"/>
      <c r="M195" s="26"/>
      <c r="N195" s="22"/>
      <c r="O195" s="22"/>
      <c r="P195" s="22"/>
      <c r="Q195" s="22"/>
    </row>
    <row r="196" spans="1:17" ht="12.75" customHeight="1">
      <c r="A196" s="16"/>
      <c r="C196" s="73" t="s">
        <v>68</v>
      </c>
      <c r="D196" s="70"/>
      <c r="E196" s="70">
        <f aca="true" t="shared" si="135" ref="E196:P196">E$29-D$14*D174</f>
        <v>139.7683823195934</v>
      </c>
      <c r="F196" s="70">
        <f t="shared" si="135"/>
        <v>305.7987834360134</v>
      </c>
      <c r="G196" s="70">
        <f t="shared" si="135"/>
        <v>308.80054205462045</v>
      </c>
      <c r="H196" s="70">
        <f t="shared" si="135"/>
        <v>318.2267731231855</v>
      </c>
      <c r="I196" s="70">
        <f t="shared" si="135"/>
        <v>324.59130858564924</v>
      </c>
      <c r="J196" s="70">
        <f t="shared" si="135"/>
        <v>331.08313475736225</v>
      </c>
      <c r="K196" s="70">
        <f t="shared" si="135"/>
        <v>337.7047974525093</v>
      </c>
      <c r="L196" s="70">
        <f t="shared" si="135"/>
        <v>344.45889340155964</v>
      </c>
      <c r="M196" s="70">
        <f t="shared" si="135"/>
        <v>351.3480712695908</v>
      </c>
      <c r="N196" s="70">
        <f t="shared" si="135"/>
        <v>358.3750326949827</v>
      </c>
      <c r="O196" s="70">
        <f t="shared" si="135"/>
        <v>365.5425333488822</v>
      </c>
      <c r="P196" s="70">
        <f t="shared" si="135"/>
        <v>372.85338401586</v>
      </c>
      <c r="Q196" s="1">
        <f>P196*(1+O$5)+P196*(1+O$5)*(1+O$5)/(P174-O$5)</f>
        <v>4757.262290989855</v>
      </c>
    </row>
    <row r="197" spans="1:41" s="42" customFormat="1" ht="12.75" customHeight="1">
      <c r="A197" s="45"/>
      <c r="C197" s="39" t="s">
        <v>69</v>
      </c>
      <c r="D197" s="18"/>
      <c r="E197" s="18">
        <f aca="true" t="shared" si="136" ref="E197:P197">E$29+E$25*(1-$F$1)-(D$13+D$14)*D181</f>
        <v>85.62593270509805</v>
      </c>
      <c r="F197" s="18">
        <f t="shared" si="136"/>
        <v>251.23769461586363</v>
      </c>
      <c r="G197" s="18">
        <f t="shared" si="136"/>
        <v>257.76962536468494</v>
      </c>
      <c r="H197" s="18">
        <f t="shared" si="136"/>
        <v>267.5692151977579</v>
      </c>
      <c r="I197" s="18">
        <f t="shared" si="136"/>
        <v>272.920599501713</v>
      </c>
      <c r="J197" s="18">
        <f t="shared" si="136"/>
        <v>278.3790114917473</v>
      </c>
      <c r="K197" s="18">
        <f t="shared" si="136"/>
        <v>283.9465917215821</v>
      </c>
      <c r="L197" s="18">
        <f t="shared" si="136"/>
        <v>289.62552355601383</v>
      </c>
      <c r="M197" s="18">
        <f t="shared" si="136"/>
        <v>295.418034027134</v>
      </c>
      <c r="N197" s="18">
        <f t="shared" si="136"/>
        <v>301.32639470767674</v>
      </c>
      <c r="O197" s="18">
        <f t="shared" si="136"/>
        <v>307.35292260183024</v>
      </c>
      <c r="P197" s="18">
        <f t="shared" si="136"/>
        <v>313.4999810538669</v>
      </c>
      <c r="Q197" s="36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</row>
    <row r="198" spans="1:17" ht="12.75" customHeight="1">
      <c r="A198" s="16"/>
      <c r="C198" s="56"/>
      <c r="D198" s="70"/>
      <c r="E198" s="70"/>
      <c r="F198" s="70"/>
      <c r="G198" s="29"/>
      <c r="H198" s="70"/>
      <c r="I198" s="70"/>
      <c r="J198" s="70"/>
      <c r="K198" s="70"/>
      <c r="L198" s="70"/>
      <c r="M198" s="29"/>
      <c r="N198" s="70"/>
      <c r="O198" s="70"/>
      <c r="P198" s="70"/>
      <c r="Q198" s="71"/>
    </row>
    <row r="199" spans="1:17" ht="12.75" customHeight="1" hidden="1">
      <c r="A199" s="16"/>
      <c r="C199" s="21" t="s">
        <v>53</v>
      </c>
      <c r="D199" s="70"/>
      <c r="E199" s="70">
        <f aca="true" t="shared" si="137" ref="E199:P199">E175</f>
        <v>0.9005250855289042</v>
      </c>
      <c r="F199" s="70">
        <f t="shared" si="137"/>
        <v>0.8114201091224693</v>
      </c>
      <c r="G199" s="29">
        <f t="shared" si="137"/>
        <v>0.7317335185888977</v>
      </c>
      <c r="H199" s="70">
        <f t="shared" si="137"/>
        <v>0.6600357339660415</v>
      </c>
      <c r="I199" s="70">
        <f t="shared" si="137"/>
        <v>0.5953631466168305</v>
      </c>
      <c r="J199" s="70">
        <f t="shared" si="137"/>
        <v>0.5370274033795422</v>
      </c>
      <c r="K199" s="70">
        <f t="shared" si="137"/>
        <v>0.48440759831945696</v>
      </c>
      <c r="L199" s="70">
        <f t="shared" si="137"/>
        <v>0.43694366401594176</v>
      </c>
      <c r="M199" s="29">
        <f t="shared" si="137"/>
        <v>0.3941304103941171</v>
      </c>
      <c r="N199" s="70">
        <f t="shared" si="137"/>
        <v>0.35551214765244354</v>
      </c>
      <c r="O199" s="70">
        <f t="shared" si="137"/>
        <v>0.3206778360544882</v>
      </c>
      <c r="P199" s="70">
        <f t="shared" si="137"/>
        <v>0.28925671096089306</v>
      </c>
      <c r="Q199" s="74">
        <f>P199/(1+$P174)</f>
        <v>0.2609143365358649</v>
      </c>
    </row>
    <row r="200" spans="1:17" ht="12.75" customHeight="1" hidden="1">
      <c r="A200" s="16"/>
      <c r="C200" s="21" t="s">
        <v>70</v>
      </c>
      <c r="D200" s="1"/>
      <c r="E200" s="1">
        <f>E196*E199</f>
        <v>125.86493444258842</v>
      </c>
      <c r="F200" s="1">
        <f aca="true" t="shared" si="138" ref="F200:Q200">F196*F199</f>
        <v>248.13128222516838</v>
      </c>
      <c r="G200" s="29">
        <f t="shared" si="138"/>
        <v>225.9597071797863</v>
      </c>
      <c r="H200" s="1">
        <f t="shared" si="138"/>
        <v>210.04104176600674</v>
      </c>
      <c r="I200" s="1">
        <f t="shared" si="138"/>
        <v>193.24970284402679</v>
      </c>
      <c r="J200" s="1">
        <f t="shared" si="138"/>
        <v>177.8007161615053</v>
      </c>
      <c r="K200" s="1">
        <f t="shared" si="138"/>
        <v>163.5867698749287</v>
      </c>
      <c r="L200" s="1">
        <f t="shared" si="138"/>
        <v>150.50913098575418</v>
      </c>
      <c r="M200" s="29">
        <f t="shared" si="138"/>
        <v>138.47695952066533</v>
      </c>
      <c r="N200" s="1">
        <f t="shared" si="138"/>
        <v>127.40667753840796</v>
      </c>
      <c r="O200" s="1">
        <f t="shared" si="138"/>
        <v>117.22138858019512</v>
      </c>
      <c r="P200" s="1">
        <f t="shared" si="138"/>
        <v>107.85034353106649</v>
      </c>
      <c r="Q200" s="1">
        <f t="shared" si="138"/>
        <v>1241.2379343807065</v>
      </c>
    </row>
    <row r="201" spans="1:17" ht="12.75" customHeight="1">
      <c r="A201" s="16"/>
      <c r="C201" s="42" t="s">
        <v>71</v>
      </c>
      <c r="D201" s="18">
        <f>SUM(E200:$Q200)/D175</f>
        <v>3227.336589030806</v>
      </c>
      <c r="E201" s="18">
        <f>SUM(F200:$Q200)/E175</f>
        <v>3444.070247933887</v>
      </c>
      <c r="F201" s="18">
        <f>SUM(G200:$Q200)/F175</f>
        <v>3516.4772727272757</v>
      </c>
      <c r="G201" s="91">
        <f>SUM(H200:$Q200)/G175</f>
        <v>3590.6250000000027</v>
      </c>
      <c r="H201" s="18">
        <f>SUM(I200:$Q200)/H175</f>
        <v>3662.437500000003</v>
      </c>
      <c r="I201" s="18">
        <f>SUM(J200:$Q200)/I175</f>
        <v>3735.6862500000025</v>
      </c>
      <c r="J201" s="18">
        <f>SUM(K200:$Q200)/J175</f>
        <v>3810.399975000003</v>
      </c>
      <c r="K201" s="18">
        <f>SUM(L200:$Q200)/K175</f>
        <v>3886.607974500003</v>
      </c>
      <c r="L201" s="18">
        <f>SUM(M200:$Q200)/L175</f>
        <v>3964.3401339900033</v>
      </c>
      <c r="M201" s="91">
        <f>SUM(N200:$Q200)/M175</f>
        <v>4043.6269366698034</v>
      </c>
      <c r="N201" s="18">
        <f>SUM(O200:$Q200)/N175</f>
        <v>4124.4994754031995</v>
      </c>
      <c r="O201" s="18">
        <f>SUM(P200:$Q200)/O175</f>
        <v>4206.989464911263</v>
      </c>
      <c r="P201" s="18">
        <f>SUM(Q200:$Q200)/P175</f>
        <v>4291.129254209488</v>
      </c>
      <c r="Q201" s="71"/>
    </row>
    <row r="202" spans="1:41" s="65" customFormat="1" ht="12.75" customHeight="1" thickBot="1">
      <c r="A202" s="64"/>
      <c r="B202" s="65" t="s">
        <v>72</v>
      </c>
      <c r="C202" s="77" t="s">
        <v>73</v>
      </c>
      <c r="D202" s="79">
        <f aca="true" t="shared" si="139" ref="D202:P202">D201+D$14</f>
        <v>3727.336589030806</v>
      </c>
      <c r="E202" s="79">
        <f t="shared" si="139"/>
        <v>3974.070247933887</v>
      </c>
      <c r="F202" s="79">
        <f t="shared" si="139"/>
        <v>4381.477272727276</v>
      </c>
      <c r="G202" s="79">
        <f t="shared" si="139"/>
        <v>4520.625000000003</v>
      </c>
      <c r="H202" s="79">
        <f t="shared" si="139"/>
        <v>4611.037500000003</v>
      </c>
      <c r="I202" s="79">
        <f t="shared" si="139"/>
        <v>4703.258250000003</v>
      </c>
      <c r="J202" s="79">
        <f t="shared" si="139"/>
        <v>4797.3234150000035</v>
      </c>
      <c r="K202" s="79">
        <f t="shared" si="139"/>
        <v>4893.269883300003</v>
      </c>
      <c r="L202" s="79">
        <f t="shared" si="139"/>
        <v>4991.135280966004</v>
      </c>
      <c r="M202" s="79">
        <f t="shared" si="139"/>
        <v>5090.957986585324</v>
      </c>
      <c r="N202" s="79">
        <f t="shared" si="139"/>
        <v>5192.77714631703</v>
      </c>
      <c r="O202" s="79">
        <f t="shared" si="139"/>
        <v>5296.63268924337</v>
      </c>
      <c r="P202" s="79">
        <f t="shared" si="139"/>
        <v>5402.565343028237</v>
      </c>
      <c r="Q202" s="90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</row>
    <row r="203" spans="1:17" s="69" customFormat="1" ht="6.75" customHeight="1">
      <c r="A203" s="55"/>
      <c r="C203" s="56"/>
      <c r="D203" s="57"/>
      <c r="E203" s="57"/>
      <c r="F203" s="57"/>
      <c r="G203" s="97"/>
      <c r="H203" s="57"/>
      <c r="I203" s="57"/>
      <c r="J203" s="57"/>
      <c r="K203" s="57"/>
      <c r="L203" s="57"/>
      <c r="M203" s="97"/>
      <c r="N203" s="57"/>
      <c r="O203" s="57"/>
      <c r="P203" s="57"/>
      <c r="Q203" s="71"/>
    </row>
    <row r="204" spans="1:17" s="69" customFormat="1" ht="12" customHeight="1" hidden="1">
      <c r="A204" s="75"/>
      <c r="C204" s="69" t="s">
        <v>69</v>
      </c>
      <c r="D204" s="58"/>
      <c r="E204" s="58">
        <f aca="true" t="shared" si="140" ref="E204:P204">E197</f>
        <v>85.62593270509805</v>
      </c>
      <c r="F204" s="58">
        <f t="shared" si="140"/>
        <v>251.23769461586363</v>
      </c>
      <c r="G204" s="93">
        <f t="shared" si="140"/>
        <v>257.76962536468494</v>
      </c>
      <c r="H204" s="58">
        <f t="shared" si="140"/>
        <v>267.5692151977579</v>
      </c>
      <c r="I204" s="58">
        <f t="shared" si="140"/>
        <v>272.920599501713</v>
      </c>
      <c r="J204" s="58">
        <f t="shared" si="140"/>
        <v>278.3790114917473</v>
      </c>
      <c r="K204" s="58">
        <f t="shared" si="140"/>
        <v>283.9465917215821</v>
      </c>
      <c r="L204" s="58">
        <f t="shared" si="140"/>
        <v>289.62552355601383</v>
      </c>
      <c r="M204" s="93">
        <f t="shared" si="140"/>
        <v>295.418034027134</v>
      </c>
      <c r="N204" s="58">
        <f t="shared" si="140"/>
        <v>301.32639470767674</v>
      </c>
      <c r="O204" s="58">
        <f t="shared" si="140"/>
        <v>307.35292260183024</v>
      </c>
      <c r="P204" s="58">
        <f t="shared" si="140"/>
        <v>313.4999810538669</v>
      </c>
      <c r="Q204" s="1">
        <f>P204*(1+O$5)+P204*(1+O$5)*(1+O$5)/(P181-O$5)</f>
        <v>4696.721819968622</v>
      </c>
    </row>
    <row r="205" spans="1:17" ht="12" customHeight="1" hidden="1">
      <c r="A205" s="16"/>
      <c r="C205" s="21" t="s">
        <v>74</v>
      </c>
      <c r="D205" s="1"/>
      <c r="E205" s="1">
        <f>E204*E182</f>
        <v>78.29107420203675</v>
      </c>
      <c r="F205" s="1">
        <f aca="true" t="shared" si="141" ref="F205:Q205">F204*F182</f>
        <v>209.98375467449517</v>
      </c>
      <c r="G205" s="29">
        <f t="shared" si="141"/>
        <v>196.86152866062835</v>
      </c>
      <c r="H205" s="1">
        <f t="shared" si="141"/>
        <v>186.69901021249092</v>
      </c>
      <c r="I205" s="1">
        <f t="shared" si="141"/>
        <v>173.9878595043831</v>
      </c>
      <c r="J205" s="1">
        <f t="shared" si="141"/>
        <v>162.14213037585588</v>
      </c>
      <c r="K205" s="1">
        <f t="shared" si="141"/>
        <v>151.10290176400923</v>
      </c>
      <c r="L205" s="1">
        <f t="shared" si="141"/>
        <v>140.81526416716986</v>
      </c>
      <c r="M205" s="29">
        <f t="shared" si="141"/>
        <v>131.22804652314636</v>
      </c>
      <c r="N205" s="1">
        <f t="shared" si="141"/>
        <v>122.2935616826119</v>
      </c>
      <c r="O205" s="1">
        <f t="shared" si="141"/>
        <v>113.96736921158745</v>
      </c>
      <c r="P205" s="1">
        <f t="shared" si="141"/>
        <v>106.20805434319975</v>
      </c>
      <c r="Q205" s="1">
        <f t="shared" si="141"/>
        <v>1453.756033709189</v>
      </c>
    </row>
    <row r="206" spans="1:17" ht="12" customHeight="1">
      <c r="A206" s="16"/>
      <c r="C206" s="42" t="s">
        <v>75</v>
      </c>
      <c r="D206" s="18">
        <f>SUM(E205:$Q205)/D182</f>
        <v>3227.3365890308037</v>
      </c>
      <c r="E206" s="18">
        <f>SUM(F205:$Q205)/E182</f>
        <v>3444.0702479338843</v>
      </c>
      <c r="F206" s="18">
        <f>SUM(G205:$Q205)/F182</f>
        <v>3516.4772727272734</v>
      </c>
      <c r="G206" s="91">
        <f>SUM(H205:$Q205)/G182</f>
        <v>3590.6250000000005</v>
      </c>
      <c r="H206" s="18">
        <f>SUM(I205:$Q205)/H182</f>
        <v>3662.4375000000005</v>
      </c>
      <c r="I206" s="18">
        <f>SUM(J205:$Q205)/I182</f>
        <v>3735.6862500000016</v>
      </c>
      <c r="J206" s="18">
        <f>SUM(K205:$Q205)/J182</f>
        <v>3810.399975000001</v>
      </c>
      <c r="K206" s="18">
        <f>SUM(L205:$Q205)/K182</f>
        <v>3886.607974500001</v>
      </c>
      <c r="L206" s="18">
        <f>SUM(M205:$Q205)/L182</f>
        <v>3964.340133990002</v>
      </c>
      <c r="M206" s="91">
        <f>SUM(N205:$Q205)/M182</f>
        <v>4043.6269366698016</v>
      </c>
      <c r="N206" s="18">
        <f>SUM(O205:$Q205)/N182</f>
        <v>4124.499475403198</v>
      </c>
      <c r="O206" s="18">
        <f>SUM(P205:$Q205)/O182</f>
        <v>4206.989464911262</v>
      </c>
      <c r="P206" s="18">
        <f>SUM(Q205:$Q205)/P182</f>
        <v>4291.129254209488</v>
      </c>
      <c r="Q206" s="18"/>
    </row>
    <row r="207" spans="1:41" s="65" customFormat="1" ht="12.75" customHeight="1" thickBot="1">
      <c r="A207" s="64"/>
      <c r="B207" s="65" t="s">
        <v>76</v>
      </c>
      <c r="C207" s="77"/>
      <c r="D207" s="112">
        <f aca="true" t="shared" si="142" ref="D207:P207">D206+D$14-(D$62-D$58)</f>
        <v>3727.3365890308055</v>
      </c>
      <c r="E207" s="112">
        <f t="shared" si="142"/>
        <v>3974.070247933886</v>
      </c>
      <c r="F207" s="112">
        <f t="shared" si="142"/>
        <v>4381.477272727276</v>
      </c>
      <c r="G207" s="112">
        <f t="shared" si="142"/>
        <v>4520.625000000002</v>
      </c>
      <c r="H207" s="112">
        <f t="shared" si="142"/>
        <v>4611.037500000002</v>
      </c>
      <c r="I207" s="112">
        <f t="shared" si="142"/>
        <v>4703.2582500000035</v>
      </c>
      <c r="J207" s="112">
        <f t="shared" si="142"/>
        <v>4797.3234150000035</v>
      </c>
      <c r="K207" s="112">
        <f t="shared" si="142"/>
        <v>4893.269883300003</v>
      </c>
      <c r="L207" s="112">
        <f t="shared" si="142"/>
        <v>4991.135280966004</v>
      </c>
      <c r="M207" s="112">
        <f t="shared" si="142"/>
        <v>5090.957986585324</v>
      </c>
      <c r="N207" s="112">
        <f t="shared" si="142"/>
        <v>5192.77714631703</v>
      </c>
      <c r="O207" s="112">
        <f t="shared" si="142"/>
        <v>5296.632689243371</v>
      </c>
      <c r="P207" s="112">
        <f t="shared" si="142"/>
        <v>5402.565343028239</v>
      </c>
      <c r="Q207" s="90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</row>
    <row r="208" spans="1:17" s="69" customFormat="1" ht="12.75" customHeight="1">
      <c r="A208"/>
      <c r="C208" s="56"/>
      <c r="D208" s="57"/>
      <c r="E208" s="57"/>
      <c r="F208" s="57"/>
      <c r="G208" s="97"/>
      <c r="H208" s="57"/>
      <c r="I208" s="57"/>
      <c r="J208" s="57"/>
      <c r="K208" s="57"/>
      <c r="L208" s="57"/>
      <c r="M208" s="97"/>
      <c r="N208" s="57"/>
      <c r="O208" s="57"/>
      <c r="P208" s="57"/>
      <c r="Q208" s="71"/>
    </row>
    <row r="209" spans="1:17" ht="12" customHeight="1">
      <c r="A209" s="45"/>
      <c r="B209" s="42"/>
      <c r="C209" s="39" t="s">
        <v>77</v>
      </c>
      <c r="D209" s="42"/>
      <c r="E209" s="59">
        <f aca="true" t="shared" si="143" ref="E209:Q209">E$40-D170*(D174-D$51)</f>
        <v>126.00000000000009</v>
      </c>
      <c r="F209" s="59">
        <f t="shared" si="143"/>
        <v>-9.999999999999979</v>
      </c>
      <c r="G209" s="59">
        <f t="shared" si="143"/>
        <v>299.00000000000006</v>
      </c>
      <c r="H209" s="59">
        <f t="shared" si="143"/>
        <v>361.6500000000002</v>
      </c>
      <c r="I209" s="59">
        <f t="shared" si="143"/>
        <v>368.8830000000001</v>
      </c>
      <c r="J209" s="59">
        <f t="shared" si="143"/>
        <v>376.26066000000026</v>
      </c>
      <c r="K209" s="59">
        <f t="shared" si="143"/>
        <v>383.7858732000001</v>
      </c>
      <c r="L209" s="59">
        <f t="shared" si="143"/>
        <v>391.4615906639997</v>
      </c>
      <c r="M209" s="59">
        <f t="shared" si="143"/>
        <v>399.2908224772804</v>
      </c>
      <c r="N209" s="59">
        <f t="shared" si="143"/>
        <v>407.2766389268258</v>
      </c>
      <c r="O209" s="59">
        <f t="shared" si="143"/>
        <v>415.4221717053629</v>
      </c>
      <c r="P209" s="59">
        <f t="shared" si="143"/>
        <v>423.7306151394689</v>
      </c>
      <c r="Q209" s="59">
        <f t="shared" si="143"/>
        <v>432.2052274422582</v>
      </c>
    </row>
    <row r="210" spans="1:41" s="7" customFormat="1" ht="12" customHeight="1">
      <c r="A210" s="45"/>
      <c r="B210" s="39"/>
      <c r="C210" s="39" t="s">
        <v>78</v>
      </c>
      <c r="D210" s="39"/>
      <c r="E210" s="59">
        <f aca="true" t="shared" si="144" ref="E210:Q210">E$41-D185*(D181-D$51)</f>
        <v>275.9999999999999</v>
      </c>
      <c r="F210" s="59">
        <f t="shared" si="144"/>
        <v>139.99999999999986</v>
      </c>
      <c r="G210" s="59">
        <f t="shared" si="144"/>
        <v>448.99999999999994</v>
      </c>
      <c r="H210" s="59">
        <f t="shared" si="144"/>
        <v>481.6500000000002</v>
      </c>
      <c r="I210" s="59">
        <f t="shared" si="144"/>
        <v>491.2829999999998</v>
      </c>
      <c r="J210" s="59">
        <f t="shared" si="144"/>
        <v>501.10866000000027</v>
      </c>
      <c r="K210" s="59">
        <f t="shared" si="144"/>
        <v>511.1308331999999</v>
      </c>
      <c r="L210" s="59">
        <f t="shared" si="144"/>
        <v>521.3534498639996</v>
      </c>
      <c r="M210" s="59">
        <f t="shared" si="144"/>
        <v>531.7805188612803</v>
      </c>
      <c r="N210" s="59">
        <f t="shared" si="144"/>
        <v>542.4161292385056</v>
      </c>
      <c r="O210" s="59">
        <f t="shared" si="144"/>
        <v>553.2644518232763</v>
      </c>
      <c r="P210" s="59">
        <f t="shared" si="144"/>
        <v>564.3297408597406</v>
      </c>
      <c r="Q210" s="59">
        <f t="shared" si="144"/>
        <v>575.6163356769356</v>
      </c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</row>
    <row r="211" spans="1:41" s="7" customFormat="1" ht="12" customHeight="1">
      <c r="A211" s="55"/>
      <c r="B211" s="56"/>
      <c r="C211" s="56"/>
      <c r="D211" s="92"/>
      <c r="E211" s="61"/>
      <c r="F211" s="61"/>
      <c r="G211" s="62"/>
      <c r="H211" s="61"/>
      <c r="I211" s="61"/>
      <c r="J211" s="61"/>
      <c r="K211" s="61"/>
      <c r="L211" s="61"/>
      <c r="M211" s="62"/>
      <c r="N211" s="61"/>
      <c r="O211" s="61"/>
      <c r="P211" s="61"/>
      <c r="Q211" s="61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</row>
    <row r="212" spans="1:41" s="7" customFormat="1" ht="12" customHeight="1">
      <c r="A212" s="16"/>
      <c r="C212" s="7" t="s">
        <v>36</v>
      </c>
      <c r="D212" s="51">
        <f aca="true" t="shared" si="145" ref="D212:Q212">D$51</f>
        <v>0.1</v>
      </c>
      <c r="E212" s="51">
        <f t="shared" si="145"/>
        <v>0.1</v>
      </c>
      <c r="F212" s="51">
        <f t="shared" si="145"/>
        <v>0.1</v>
      </c>
      <c r="G212" s="51">
        <f t="shared" si="145"/>
        <v>0.1</v>
      </c>
      <c r="H212" s="51">
        <f t="shared" si="145"/>
        <v>0.1</v>
      </c>
      <c r="I212" s="51">
        <f t="shared" si="145"/>
        <v>0.1</v>
      </c>
      <c r="J212" s="51">
        <f t="shared" si="145"/>
        <v>0.1</v>
      </c>
      <c r="K212" s="51">
        <f t="shared" si="145"/>
        <v>0.1</v>
      </c>
      <c r="L212" s="51">
        <f t="shared" si="145"/>
        <v>0.1</v>
      </c>
      <c r="M212" s="51">
        <f t="shared" si="145"/>
        <v>0.1</v>
      </c>
      <c r="N212" s="51">
        <f t="shared" si="145"/>
        <v>0.1</v>
      </c>
      <c r="O212" s="51">
        <f t="shared" si="145"/>
        <v>0.1</v>
      </c>
      <c r="P212" s="51">
        <f t="shared" si="145"/>
        <v>0.1</v>
      </c>
      <c r="Q212" s="51">
        <f t="shared" si="145"/>
        <v>0.1</v>
      </c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</row>
    <row r="213" spans="1:17" ht="12" customHeight="1" hidden="1">
      <c r="A213" s="16"/>
      <c r="C213" s="21" t="s">
        <v>53</v>
      </c>
      <c r="D213" s="12">
        <v>1</v>
      </c>
      <c r="E213" s="12">
        <f>1/(1+D212)</f>
        <v>0.9090909090909091</v>
      </c>
      <c r="F213" s="46">
        <f aca="true" t="shared" si="146" ref="F213:Q213">E213/(1+E212)</f>
        <v>0.8264462809917354</v>
      </c>
      <c r="G213" s="96">
        <f t="shared" si="146"/>
        <v>0.7513148009015777</v>
      </c>
      <c r="H213" s="46">
        <f t="shared" si="146"/>
        <v>0.6830134553650705</v>
      </c>
      <c r="I213" s="46">
        <f t="shared" si="146"/>
        <v>0.6209213230591549</v>
      </c>
      <c r="J213" s="46">
        <f t="shared" si="146"/>
        <v>0.5644739300537771</v>
      </c>
      <c r="K213" s="46">
        <f t="shared" si="146"/>
        <v>0.5131581182307065</v>
      </c>
      <c r="L213" s="46">
        <f t="shared" si="146"/>
        <v>0.4665073802097331</v>
      </c>
      <c r="M213" s="96">
        <f t="shared" si="146"/>
        <v>0.4240976183724846</v>
      </c>
      <c r="N213" s="46">
        <f t="shared" si="146"/>
        <v>0.3855432894295314</v>
      </c>
      <c r="O213" s="46">
        <f t="shared" si="146"/>
        <v>0.35049389948139215</v>
      </c>
      <c r="P213" s="46">
        <f t="shared" si="146"/>
        <v>0.31863081771035645</v>
      </c>
      <c r="Q213" s="46">
        <f t="shared" si="146"/>
        <v>0.2896643797366877</v>
      </c>
    </row>
    <row r="214" spans="1:17" ht="12" customHeight="1" hidden="1">
      <c r="A214" s="16"/>
      <c r="B214" s="42"/>
      <c r="C214" s="42" t="s">
        <v>122</v>
      </c>
      <c r="D214" s="42"/>
      <c r="E214" s="23">
        <f aca="true" t="shared" si="147" ref="E214:P214">E209</f>
        <v>126.00000000000009</v>
      </c>
      <c r="F214" s="23">
        <f t="shared" si="147"/>
        <v>-9.999999999999979</v>
      </c>
      <c r="G214" s="101">
        <f t="shared" si="147"/>
        <v>299.00000000000006</v>
      </c>
      <c r="H214" s="23">
        <f t="shared" si="147"/>
        <v>361.6500000000002</v>
      </c>
      <c r="I214" s="23">
        <f t="shared" si="147"/>
        <v>368.8830000000001</v>
      </c>
      <c r="J214" s="23">
        <f t="shared" si="147"/>
        <v>376.26066000000026</v>
      </c>
      <c r="K214" s="23">
        <f t="shared" si="147"/>
        <v>383.7858732000001</v>
      </c>
      <c r="L214" s="23">
        <f t="shared" si="147"/>
        <v>391.4615906639997</v>
      </c>
      <c r="M214" s="23">
        <f t="shared" si="147"/>
        <v>399.2908224772804</v>
      </c>
      <c r="N214" s="23">
        <f t="shared" si="147"/>
        <v>407.2766389268258</v>
      </c>
      <c r="O214" s="23">
        <f t="shared" si="147"/>
        <v>415.4221717053629</v>
      </c>
      <c r="P214" s="23">
        <f t="shared" si="147"/>
        <v>423.7306151394689</v>
      </c>
      <c r="Q214" s="1">
        <f>P214*(1+O$5)+P214*(1+O$5)*(1+O$5)/(P212-O$5)</f>
        <v>5942.821877331052</v>
      </c>
    </row>
    <row r="215" spans="1:17" ht="12" customHeight="1" hidden="1">
      <c r="A215" s="16"/>
      <c r="C215" s="21" t="s">
        <v>54</v>
      </c>
      <c r="D215" s="1"/>
      <c r="E215" s="1">
        <f aca="true" t="shared" si="148" ref="E215:Q215">E214*E213</f>
        <v>114.54545454545462</v>
      </c>
      <c r="F215" s="1">
        <f t="shared" si="148"/>
        <v>-8.264462809917337</v>
      </c>
      <c r="G215" s="29">
        <f t="shared" si="148"/>
        <v>224.64312546957177</v>
      </c>
      <c r="H215" s="1">
        <f t="shared" si="148"/>
        <v>247.01181613277788</v>
      </c>
      <c r="I215" s="1">
        <f t="shared" si="148"/>
        <v>229.0473204140303</v>
      </c>
      <c r="J215" s="1">
        <f t="shared" si="148"/>
        <v>212.38933347482816</v>
      </c>
      <c r="K215" s="1">
        <f t="shared" si="148"/>
        <v>196.94283649484055</v>
      </c>
      <c r="L215" s="1">
        <f t="shared" si="148"/>
        <v>182.6197211133974</v>
      </c>
      <c r="M215" s="29">
        <f t="shared" si="148"/>
        <v>169.33828685060516</v>
      </c>
      <c r="N215" s="1">
        <f t="shared" si="148"/>
        <v>157.02277507965195</v>
      </c>
      <c r="O215" s="1">
        <f t="shared" si="148"/>
        <v>145.6029368920411</v>
      </c>
      <c r="P215" s="1">
        <f t="shared" si="148"/>
        <v>135.01363239080132</v>
      </c>
      <c r="Q215" s="1">
        <f t="shared" si="148"/>
        <v>1721.423812982717</v>
      </c>
    </row>
    <row r="216" spans="1:17" ht="12" customHeight="1">
      <c r="A216" s="16"/>
      <c r="C216" s="47" t="s">
        <v>79</v>
      </c>
      <c r="D216" s="38">
        <f>SUM(E215:$Q215)/D213</f>
        <v>3727.3365890307996</v>
      </c>
      <c r="E216" s="38">
        <f>SUM(F215:$Q215)/E213</f>
        <v>3974.0702479338797</v>
      </c>
      <c r="F216" s="38">
        <f>SUM(G215:$Q215)/F213</f>
        <v>4381.477272727268</v>
      </c>
      <c r="G216" s="27">
        <f>SUM(H215:$Q215)/G213</f>
        <v>4520.624999999995</v>
      </c>
      <c r="H216" s="38">
        <f>SUM(I215:$Q215)/H213</f>
        <v>4611.037499999995</v>
      </c>
      <c r="I216" s="38">
        <f>SUM(J215:$Q215)/I213</f>
        <v>4703.258249999995</v>
      </c>
      <c r="J216" s="38">
        <f>SUM(K215:$Q215)/J213</f>
        <v>4797.323414999995</v>
      </c>
      <c r="K216" s="38">
        <f>SUM(L215:$Q215)/K213</f>
        <v>4893.269883299995</v>
      </c>
      <c r="L216" s="38">
        <f>SUM(M215:$Q215)/L213</f>
        <v>4991.135280965996</v>
      </c>
      <c r="M216" s="27">
        <f>SUM(N215:$Q215)/M213</f>
        <v>5090.957986585315</v>
      </c>
      <c r="N216" s="38">
        <f>SUM(O215:$Q215)/N213</f>
        <v>5192.777146317021</v>
      </c>
      <c r="O216" s="38">
        <f>SUM(P215:$Q215)/O213</f>
        <v>5296.632689243361</v>
      </c>
      <c r="P216" s="38">
        <f>SUM(Q215:$Q215)/P213</f>
        <v>5402.565343028229</v>
      </c>
      <c r="Q216" s="38"/>
    </row>
    <row r="217" spans="1:16" ht="12.75" customHeight="1">
      <c r="A217" s="16"/>
      <c r="D217" s="41"/>
      <c r="E217" s="41"/>
      <c r="F217" s="41"/>
      <c r="G217" s="146"/>
      <c r="H217" s="41"/>
      <c r="I217" s="41"/>
      <c r="J217" s="41"/>
      <c r="K217" s="41"/>
      <c r="L217" s="41"/>
      <c r="M217" s="31"/>
      <c r="N217" s="41"/>
      <c r="O217" s="41"/>
      <c r="P217" s="41"/>
    </row>
    <row r="218" spans="1:41" s="7" customFormat="1" ht="19.5" customHeight="1" hidden="1">
      <c r="A218" s="16"/>
      <c r="C218" s="7" t="s">
        <v>36</v>
      </c>
      <c r="D218" s="51">
        <f aca="true" t="shared" si="149" ref="D218:Q218">D$51</f>
        <v>0.1</v>
      </c>
      <c r="E218" s="51">
        <f t="shared" si="149"/>
        <v>0.1</v>
      </c>
      <c r="F218" s="51">
        <f t="shared" si="149"/>
        <v>0.1</v>
      </c>
      <c r="G218" s="51">
        <f t="shared" si="149"/>
        <v>0.1</v>
      </c>
      <c r="H218" s="51">
        <f t="shared" si="149"/>
        <v>0.1</v>
      </c>
      <c r="I218" s="51">
        <f t="shared" si="149"/>
        <v>0.1</v>
      </c>
      <c r="J218" s="51">
        <f t="shared" si="149"/>
        <v>0.1</v>
      </c>
      <c r="K218" s="51">
        <f t="shared" si="149"/>
        <v>0.1</v>
      </c>
      <c r="L218" s="51">
        <f t="shared" si="149"/>
        <v>0.1</v>
      </c>
      <c r="M218" s="51">
        <f t="shared" si="149"/>
        <v>0.1</v>
      </c>
      <c r="N218" s="51">
        <f t="shared" si="149"/>
        <v>0.1</v>
      </c>
      <c r="O218" s="51">
        <f t="shared" si="149"/>
        <v>0.1</v>
      </c>
      <c r="P218" s="51">
        <f t="shared" si="149"/>
        <v>0.1</v>
      </c>
      <c r="Q218" s="51">
        <f t="shared" si="149"/>
        <v>0.1</v>
      </c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</row>
    <row r="219" spans="1:17" ht="19.5" customHeight="1" hidden="1">
      <c r="A219" s="16"/>
      <c r="C219" s="21" t="s">
        <v>58</v>
      </c>
      <c r="D219" s="12">
        <v>1</v>
      </c>
      <c r="E219" s="12">
        <f>1/(1+D218)</f>
        <v>0.9090909090909091</v>
      </c>
      <c r="F219" s="12">
        <f aca="true" t="shared" si="150" ref="F219:Q219">E219/(1+E218)</f>
        <v>0.8264462809917354</v>
      </c>
      <c r="G219" s="98">
        <f t="shared" si="150"/>
        <v>0.7513148009015777</v>
      </c>
      <c r="H219" s="12">
        <f t="shared" si="150"/>
        <v>0.6830134553650705</v>
      </c>
      <c r="I219" s="12">
        <f t="shared" si="150"/>
        <v>0.6209213230591549</v>
      </c>
      <c r="J219" s="12">
        <f t="shared" si="150"/>
        <v>0.5644739300537771</v>
      </c>
      <c r="K219" s="12">
        <f t="shared" si="150"/>
        <v>0.5131581182307065</v>
      </c>
      <c r="L219" s="12">
        <f t="shared" si="150"/>
        <v>0.4665073802097331</v>
      </c>
      <c r="M219" s="98">
        <f t="shared" si="150"/>
        <v>0.4240976183724846</v>
      </c>
      <c r="N219" s="12">
        <f t="shared" si="150"/>
        <v>0.3855432894295314</v>
      </c>
      <c r="O219" s="12">
        <f t="shared" si="150"/>
        <v>0.35049389948139215</v>
      </c>
      <c r="P219" s="12">
        <f t="shared" si="150"/>
        <v>0.31863081771035645</v>
      </c>
      <c r="Q219" s="12">
        <f t="shared" si="150"/>
        <v>0.2896643797366877</v>
      </c>
    </row>
    <row r="220" spans="1:17" ht="19.5" customHeight="1" hidden="1">
      <c r="A220" s="45"/>
      <c r="B220" s="42"/>
      <c r="C220" s="42" t="s">
        <v>31</v>
      </c>
      <c r="D220" s="42"/>
      <c r="E220" s="42">
        <f aca="true" t="shared" si="151" ref="E220:P220">E210</f>
        <v>275.9999999999999</v>
      </c>
      <c r="F220" s="42">
        <f t="shared" si="151"/>
        <v>139.99999999999986</v>
      </c>
      <c r="G220" s="99">
        <f t="shared" si="151"/>
        <v>448.99999999999994</v>
      </c>
      <c r="H220" s="42">
        <f t="shared" si="151"/>
        <v>481.6500000000002</v>
      </c>
      <c r="I220" s="42">
        <f t="shared" si="151"/>
        <v>491.2829999999998</v>
      </c>
      <c r="J220" s="42">
        <f t="shared" si="151"/>
        <v>501.10866000000027</v>
      </c>
      <c r="K220" s="42">
        <f t="shared" si="151"/>
        <v>511.1308331999999</v>
      </c>
      <c r="L220" s="42">
        <f t="shared" si="151"/>
        <v>521.3534498639996</v>
      </c>
      <c r="M220" s="99">
        <f t="shared" si="151"/>
        <v>531.7805188612803</v>
      </c>
      <c r="N220" s="42">
        <f t="shared" si="151"/>
        <v>542.4161292385056</v>
      </c>
      <c r="O220" s="42">
        <f t="shared" si="151"/>
        <v>553.2644518232763</v>
      </c>
      <c r="P220" s="42">
        <f t="shared" si="151"/>
        <v>564.3297408597406</v>
      </c>
      <c r="Q220" s="1">
        <f>P220*(1+O$5)+P220*(1+O$5)*(1+O$5)/(P218-O$5)</f>
        <v>7914.724615557862</v>
      </c>
    </row>
    <row r="221" spans="1:17" ht="19.5" customHeight="1" hidden="1">
      <c r="A221" s="16"/>
      <c r="C221" s="21" t="s">
        <v>38</v>
      </c>
      <c r="D221" s="1"/>
      <c r="E221" s="1">
        <f aca="true" t="shared" si="152" ref="E221:Q221">E220*E219</f>
        <v>250.9090909090908</v>
      </c>
      <c r="F221" s="1">
        <f t="shared" si="152"/>
        <v>115.70247933884285</v>
      </c>
      <c r="G221" s="29">
        <f t="shared" si="152"/>
        <v>337.3403456048083</v>
      </c>
      <c r="H221" s="1">
        <f t="shared" si="152"/>
        <v>328.9734307765864</v>
      </c>
      <c r="I221" s="1">
        <f t="shared" si="152"/>
        <v>305.04809035647065</v>
      </c>
      <c r="J221" s="1">
        <f t="shared" si="152"/>
        <v>282.8627746941821</v>
      </c>
      <c r="K221" s="1">
        <f t="shared" si="152"/>
        <v>262.29093653460507</v>
      </c>
      <c r="L221" s="1">
        <f t="shared" si="152"/>
        <v>243.21523205936086</v>
      </c>
      <c r="M221" s="29">
        <f t="shared" si="152"/>
        <v>225.5268515459531</v>
      </c>
      <c r="N221" s="1">
        <f t="shared" si="152"/>
        <v>209.12489870624728</v>
      </c>
      <c r="O221" s="1">
        <f t="shared" si="152"/>
        <v>193.91581516397494</v>
      </c>
      <c r="P221" s="1">
        <f t="shared" si="152"/>
        <v>179.81284678841268</v>
      </c>
      <c r="Q221" s="1">
        <f t="shared" si="152"/>
        <v>2292.613796552262</v>
      </c>
    </row>
    <row r="222" spans="1:17" ht="19.5" customHeight="1">
      <c r="A222" s="16"/>
      <c r="B222" s="4" t="s">
        <v>80</v>
      </c>
      <c r="C222" s="42" t="s">
        <v>81</v>
      </c>
      <c r="D222" s="18">
        <f>SUM(E221:$Q221)/D219</f>
        <v>5227.336589030796</v>
      </c>
      <c r="E222" s="18">
        <f>SUM(F221:$Q221)/E219</f>
        <v>5474.070247933877</v>
      </c>
      <c r="F222" s="18">
        <f>SUM(G221:$Q221)/F219</f>
        <v>5881.477272727265</v>
      </c>
      <c r="G222" s="91">
        <f>SUM(H221:$Q221)/G219</f>
        <v>6020.624999999994</v>
      </c>
      <c r="H222" s="18">
        <f>SUM(I221:$Q221)/H219</f>
        <v>6141.037499999993</v>
      </c>
      <c r="I222" s="18">
        <f>SUM(J221:$Q221)/I219</f>
        <v>6263.858249999992</v>
      </c>
      <c r="J222" s="18">
        <f>SUM(K221:$Q221)/J219</f>
        <v>6389.1354149999925</v>
      </c>
      <c r="K222" s="18">
        <f>SUM(L221:$Q221)/K219</f>
        <v>6516.918123299993</v>
      </c>
      <c r="L222" s="18">
        <f>SUM(M221:$Q221)/L219</f>
        <v>6647.256485765993</v>
      </c>
      <c r="M222" s="91">
        <f>SUM(N221:$Q221)/M219</f>
        <v>6780.201615481311</v>
      </c>
      <c r="N222" s="18">
        <f>SUM(O221:$Q221)/N219</f>
        <v>6915.805647790938</v>
      </c>
      <c r="O222" s="18">
        <f>SUM(P221:$Q221)/O219</f>
        <v>7054.121760746757</v>
      </c>
      <c r="P222" s="18">
        <f>SUM(Q221:$Q221)/P219</f>
        <v>7195.204195961694</v>
      </c>
      <c r="Q222" s="18"/>
    </row>
    <row r="223" spans="1:17" ht="12.75" customHeight="1">
      <c r="A223" s="16"/>
      <c r="B223" s="4" t="s">
        <v>48</v>
      </c>
      <c r="C223" s="39" t="s">
        <v>82</v>
      </c>
      <c r="D223" s="38">
        <f aca="true" t="shared" si="153" ref="D223:P223">D222-D$62</f>
        <v>3727.3365890307978</v>
      </c>
      <c r="E223" s="38">
        <f t="shared" si="153"/>
        <v>3974.070247933879</v>
      </c>
      <c r="F223" s="38">
        <f t="shared" si="153"/>
        <v>4381.477272727267</v>
      </c>
      <c r="G223" s="38">
        <f t="shared" si="153"/>
        <v>4520.624999999995</v>
      </c>
      <c r="H223" s="38">
        <f t="shared" si="153"/>
        <v>4611.037499999995</v>
      </c>
      <c r="I223" s="38">
        <f t="shared" si="153"/>
        <v>4703.2582499999935</v>
      </c>
      <c r="J223" s="38">
        <f t="shared" si="153"/>
        <v>4797.323414999994</v>
      </c>
      <c r="K223" s="38">
        <f t="shared" si="153"/>
        <v>4893.269883299994</v>
      </c>
      <c r="L223" s="38">
        <f t="shared" si="153"/>
        <v>4991.135280965995</v>
      </c>
      <c r="M223" s="38">
        <f t="shared" si="153"/>
        <v>5090.957986585312</v>
      </c>
      <c r="N223" s="38">
        <f t="shared" si="153"/>
        <v>5192.777146317019</v>
      </c>
      <c r="O223" s="38">
        <f t="shared" si="153"/>
        <v>5296.63268924336</v>
      </c>
      <c r="P223" s="38">
        <f t="shared" si="153"/>
        <v>5402.565343028229</v>
      </c>
      <c r="Q223" s="20"/>
    </row>
    <row r="224" spans="1:17" ht="12.75" customHeight="1">
      <c r="A224" s="16"/>
      <c r="C224" s="56"/>
      <c r="D224" s="57"/>
      <c r="E224" s="57"/>
      <c r="F224" s="116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88"/>
    </row>
    <row r="225" spans="1:41" s="7" customFormat="1" ht="12" customHeight="1">
      <c r="A225" s="45"/>
      <c r="B225" s="39"/>
      <c r="C225" s="39" t="s">
        <v>87</v>
      </c>
      <c r="D225" s="39"/>
      <c r="E225" s="59">
        <f aca="true" t="shared" si="154" ref="E225:Q225">E$41-D222*(D181-D$49)</f>
        <v>66.90653643876797</v>
      </c>
      <c r="F225" s="59">
        <f t="shared" si="154"/>
        <v>-78.96280991735529</v>
      </c>
      <c r="G225" s="59">
        <f t="shared" si="154"/>
        <v>213.74090909090933</v>
      </c>
      <c r="H225" s="59">
        <f t="shared" si="154"/>
        <v>240.8250000000004</v>
      </c>
      <c r="I225" s="59">
        <f t="shared" si="154"/>
        <v>245.64150000000004</v>
      </c>
      <c r="J225" s="59">
        <f t="shared" si="154"/>
        <v>250.55433000000053</v>
      </c>
      <c r="K225" s="59">
        <f t="shared" si="154"/>
        <v>255.56541660000013</v>
      </c>
      <c r="L225" s="59">
        <f t="shared" si="154"/>
        <v>260.6767249319998</v>
      </c>
      <c r="M225" s="59">
        <f t="shared" si="154"/>
        <v>265.89025943064047</v>
      </c>
      <c r="N225" s="59">
        <f t="shared" si="154"/>
        <v>271.2080646192531</v>
      </c>
      <c r="O225" s="59">
        <f t="shared" si="154"/>
        <v>276.63222591163867</v>
      </c>
      <c r="P225" s="59">
        <f t="shared" si="154"/>
        <v>282.16487042987023</v>
      </c>
      <c r="Q225" s="59">
        <f t="shared" si="154"/>
        <v>287.80816783846785</v>
      </c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</row>
    <row r="226" spans="1:17" ht="12" customHeight="1">
      <c r="A226" s="45"/>
      <c r="B226" s="42"/>
      <c r="C226" s="39" t="s">
        <v>86</v>
      </c>
      <c r="D226" s="42"/>
      <c r="E226" s="59">
        <f aca="true" t="shared" si="155" ref="E226:Q226">E$40-D223*(D174-D$49)</f>
        <v>-23.09346356123183</v>
      </c>
      <c r="F226" s="59">
        <f t="shared" si="155"/>
        <v>-168.96280991735517</v>
      </c>
      <c r="G226" s="59">
        <f t="shared" si="155"/>
        <v>123.74090909090935</v>
      </c>
      <c r="H226" s="59">
        <f t="shared" si="155"/>
        <v>180.82500000000033</v>
      </c>
      <c r="I226" s="59">
        <f t="shared" si="155"/>
        <v>184.44150000000022</v>
      </c>
      <c r="J226" s="59">
        <f t="shared" si="155"/>
        <v>188.1303300000005</v>
      </c>
      <c r="K226" s="59">
        <f t="shared" si="155"/>
        <v>191.89293660000027</v>
      </c>
      <c r="L226" s="59">
        <f t="shared" si="155"/>
        <v>195.73079533199993</v>
      </c>
      <c r="M226" s="59">
        <f t="shared" si="155"/>
        <v>199.64541123864058</v>
      </c>
      <c r="N226" s="59">
        <f t="shared" si="155"/>
        <v>203.63831946341327</v>
      </c>
      <c r="O226" s="59">
        <f t="shared" si="155"/>
        <v>207.71108585268212</v>
      </c>
      <c r="P226" s="59">
        <f t="shared" si="155"/>
        <v>211.8653075697345</v>
      </c>
      <c r="Q226" s="59">
        <f t="shared" si="155"/>
        <v>216.102613721129</v>
      </c>
    </row>
    <row r="227" spans="1:16" ht="14.25" customHeight="1">
      <c r="A227" s="16"/>
      <c r="B227" s="104"/>
      <c r="C227" s="92"/>
      <c r="D227" s="105"/>
      <c r="E227" s="105"/>
      <c r="F227" s="105"/>
      <c r="G227" s="50"/>
      <c r="H227" s="105"/>
      <c r="I227" s="105"/>
      <c r="J227" s="43"/>
      <c r="K227" s="43"/>
      <c r="L227" s="43"/>
      <c r="M227" s="102"/>
      <c r="N227" s="43"/>
      <c r="O227" s="43"/>
      <c r="P227" s="43"/>
    </row>
    <row r="228" spans="1:17" ht="14.25" customHeight="1" hidden="1">
      <c r="A228" s="16"/>
      <c r="B228" s="104"/>
      <c r="C228" s="4" t="s">
        <v>2</v>
      </c>
      <c r="D228" s="105">
        <f aca="true" t="shared" si="156" ref="D228:P228">D$49</f>
        <v>0.06</v>
      </c>
      <c r="E228" s="105">
        <f t="shared" si="156"/>
        <v>0.06</v>
      </c>
      <c r="F228" s="105">
        <f t="shared" si="156"/>
        <v>0.06</v>
      </c>
      <c r="G228" s="105">
        <f t="shared" si="156"/>
        <v>0.06</v>
      </c>
      <c r="H228" s="105">
        <f t="shared" si="156"/>
        <v>0.06</v>
      </c>
      <c r="I228" s="105">
        <f t="shared" si="156"/>
        <v>0.06</v>
      </c>
      <c r="J228" s="105">
        <f t="shared" si="156"/>
        <v>0.06</v>
      </c>
      <c r="K228" s="105">
        <f t="shared" si="156"/>
        <v>0.06</v>
      </c>
      <c r="L228" s="105">
        <f t="shared" si="156"/>
        <v>0.06</v>
      </c>
      <c r="M228" s="105">
        <f t="shared" si="156"/>
        <v>0.06</v>
      </c>
      <c r="N228" s="105">
        <f t="shared" si="156"/>
        <v>0.06</v>
      </c>
      <c r="O228" s="105">
        <f t="shared" si="156"/>
        <v>0.06</v>
      </c>
      <c r="P228" s="105">
        <f t="shared" si="156"/>
        <v>0.06</v>
      </c>
      <c r="Q228" s="49">
        <f>P228</f>
        <v>0.06</v>
      </c>
    </row>
    <row r="229" spans="1:17" ht="14.25" customHeight="1" hidden="1">
      <c r="A229" s="16"/>
      <c r="C229" s="158" t="s">
        <v>91</v>
      </c>
      <c r="D229" s="12">
        <v>1</v>
      </c>
      <c r="E229" s="12">
        <f>1/(1+D228)</f>
        <v>0.9433962264150942</v>
      </c>
      <c r="F229" s="12">
        <f aca="true" t="shared" si="157" ref="F229:Q229">E229/(1+E228)</f>
        <v>0.8899964400142398</v>
      </c>
      <c r="G229" s="98">
        <f t="shared" si="157"/>
        <v>0.8396192830323017</v>
      </c>
      <c r="H229" s="12">
        <f t="shared" si="157"/>
        <v>0.7920936632380204</v>
      </c>
      <c r="I229" s="12">
        <f t="shared" si="157"/>
        <v>0.747258172866057</v>
      </c>
      <c r="J229" s="12">
        <f t="shared" si="157"/>
        <v>0.7049605404396764</v>
      </c>
      <c r="K229" s="12">
        <f t="shared" si="157"/>
        <v>0.6650571136223362</v>
      </c>
      <c r="L229" s="12">
        <f t="shared" si="157"/>
        <v>0.6274123713418266</v>
      </c>
      <c r="M229" s="98">
        <f t="shared" si="157"/>
        <v>0.5918984635300251</v>
      </c>
      <c r="N229" s="12">
        <f t="shared" si="157"/>
        <v>0.558394776915118</v>
      </c>
      <c r="O229" s="12">
        <f t="shared" si="157"/>
        <v>0.5267875253916207</v>
      </c>
      <c r="P229" s="12">
        <f t="shared" si="157"/>
        <v>0.4969693635770006</v>
      </c>
      <c r="Q229" s="12">
        <f t="shared" si="157"/>
        <v>0.4688390222424534</v>
      </c>
    </row>
    <row r="230" spans="1:17" ht="14.25" customHeight="1" hidden="1">
      <c r="A230" s="45"/>
      <c r="B230" s="42"/>
      <c r="C230" s="39" t="s">
        <v>87</v>
      </c>
      <c r="D230" s="42"/>
      <c r="E230" s="23">
        <f>E225</f>
        <v>66.90653643876797</v>
      </c>
      <c r="F230" s="23">
        <f aca="true" t="shared" si="158" ref="F230:P230">F225</f>
        <v>-78.96280991735529</v>
      </c>
      <c r="G230" s="23">
        <f t="shared" si="158"/>
        <v>213.74090909090933</v>
      </c>
      <c r="H230" s="23">
        <f t="shared" si="158"/>
        <v>240.8250000000004</v>
      </c>
      <c r="I230" s="23">
        <f t="shared" si="158"/>
        <v>245.64150000000004</v>
      </c>
      <c r="J230" s="23">
        <f t="shared" si="158"/>
        <v>250.55433000000053</v>
      </c>
      <c r="K230" s="23">
        <f t="shared" si="158"/>
        <v>255.56541660000013</v>
      </c>
      <c r="L230" s="23">
        <f t="shared" si="158"/>
        <v>260.6767249319998</v>
      </c>
      <c r="M230" s="23">
        <f t="shared" si="158"/>
        <v>265.89025943064047</v>
      </c>
      <c r="N230" s="23">
        <f t="shared" si="158"/>
        <v>271.2080646192531</v>
      </c>
      <c r="O230" s="23">
        <f t="shared" si="158"/>
        <v>276.63222591163867</v>
      </c>
      <c r="P230" s="23">
        <f t="shared" si="158"/>
        <v>282.16487042987023</v>
      </c>
      <c r="Q230" s="1">
        <f>P230*(1+O$5)+P230*(1+O$5)*(1+O$5)/(P228-O$5)</f>
        <v>7626.9164477193945</v>
      </c>
    </row>
    <row r="231" spans="1:17" ht="14.25" customHeight="1" hidden="1">
      <c r="A231" s="16"/>
      <c r="C231" s="21" t="s">
        <v>38</v>
      </c>
      <c r="D231" s="1"/>
      <c r="E231" s="1">
        <f aca="true" t="shared" si="159" ref="E231:Q231">E230*E229</f>
        <v>63.1193739988377</v>
      </c>
      <c r="F231" s="1">
        <f t="shared" si="159"/>
        <v>-70.27661971996731</v>
      </c>
      <c r="G231" s="29">
        <f t="shared" si="159"/>
        <v>179.46098884558168</v>
      </c>
      <c r="H231" s="1">
        <f t="shared" si="159"/>
        <v>190.75595644929658</v>
      </c>
      <c r="I231" s="1">
        <f t="shared" si="159"/>
        <v>183.55761847007756</v>
      </c>
      <c r="J231" s="1">
        <f t="shared" si="159"/>
        <v>176.6309158863014</v>
      </c>
      <c r="K231" s="1">
        <f t="shared" si="159"/>
        <v>169.96559830568597</v>
      </c>
      <c r="L231" s="1">
        <f t="shared" si="159"/>
        <v>163.55180214320703</v>
      </c>
      <c r="M231" s="29">
        <f t="shared" si="159"/>
        <v>157.38003602459585</v>
      </c>
      <c r="N231" s="1">
        <f t="shared" si="159"/>
        <v>151.44116674064873</v>
      </c>
      <c r="O231" s="1">
        <f t="shared" si="159"/>
        <v>145.7264057315679</v>
      </c>
      <c r="P231" s="1">
        <f t="shared" si="159"/>
        <v>140.22729608131945</v>
      </c>
      <c r="Q231" s="1">
        <f t="shared" si="159"/>
        <v>3575.7960500736467</v>
      </c>
    </row>
    <row r="232" spans="1:16" ht="14.25" customHeight="1">
      <c r="A232" s="16"/>
      <c r="B232" s="157" t="s">
        <v>89</v>
      </c>
      <c r="C232" s="156" t="s">
        <v>88</v>
      </c>
      <c r="D232" s="18">
        <f>SUM(E231:$Q231)/D229</f>
        <v>5227.3365890308</v>
      </c>
      <c r="E232" s="18">
        <f>SUM(F231:$Q231)/E229</f>
        <v>5474.070247933881</v>
      </c>
      <c r="F232" s="18">
        <f>SUM(G231:$Q231)/F229</f>
        <v>5881.477272727268</v>
      </c>
      <c r="G232" s="91">
        <f>SUM(H231:$Q231)/G229</f>
        <v>6020.624999999995</v>
      </c>
      <c r="H232" s="18">
        <f>SUM(I231:$Q231)/H229</f>
        <v>6141.037499999995</v>
      </c>
      <c r="I232" s="18">
        <f>SUM(J231:$Q231)/I229</f>
        <v>6263.858249999995</v>
      </c>
      <c r="J232" s="18">
        <f>SUM(K231:$Q231)/J229</f>
        <v>6389.135414999994</v>
      </c>
      <c r="K232" s="18">
        <f>SUM(L231:$Q231)/K229</f>
        <v>6516.918123299993</v>
      </c>
      <c r="L232" s="18">
        <f>SUM(M231:$Q231)/L229</f>
        <v>6647.256485765993</v>
      </c>
      <c r="M232" s="91">
        <f>SUM(N231:$Q231)/M229</f>
        <v>6780.201615481313</v>
      </c>
      <c r="N232" s="18">
        <f>SUM(O231:$Q231)/N229</f>
        <v>6915.805647790939</v>
      </c>
      <c r="O232" s="18">
        <f>SUM(P231:$Q231)/O229</f>
        <v>7054.121760746757</v>
      </c>
      <c r="P232" s="18">
        <f>SUM(Q231:$Q231)/P229</f>
        <v>7195.204195961693</v>
      </c>
    </row>
    <row r="233" spans="1:16" ht="14.25" customHeight="1">
      <c r="A233" s="16"/>
      <c r="B233" s="4" t="s">
        <v>48</v>
      </c>
      <c r="C233" s="39" t="s">
        <v>90</v>
      </c>
      <c r="D233" s="38">
        <f aca="true" t="shared" si="160" ref="D233:P233">D232-D$62</f>
        <v>3727.3365890308014</v>
      </c>
      <c r="E233" s="38">
        <f t="shared" si="160"/>
        <v>3974.0702479338825</v>
      </c>
      <c r="F233" s="38">
        <f t="shared" si="160"/>
        <v>4381.47727272727</v>
      </c>
      <c r="G233" s="38">
        <f t="shared" si="160"/>
        <v>4520.624999999997</v>
      </c>
      <c r="H233" s="38">
        <f t="shared" si="160"/>
        <v>4611.037499999997</v>
      </c>
      <c r="I233" s="38">
        <f t="shared" si="160"/>
        <v>4703.258249999996</v>
      </c>
      <c r="J233" s="38">
        <f t="shared" si="160"/>
        <v>4797.323414999996</v>
      </c>
      <c r="K233" s="38">
        <f t="shared" si="160"/>
        <v>4893.269883299994</v>
      </c>
      <c r="L233" s="38">
        <f t="shared" si="160"/>
        <v>4991.135280965995</v>
      </c>
      <c r="M233" s="38">
        <f t="shared" si="160"/>
        <v>5090.957986585314</v>
      </c>
      <c r="N233" s="38">
        <f t="shared" si="160"/>
        <v>5192.77714631702</v>
      </c>
      <c r="O233" s="38">
        <f t="shared" si="160"/>
        <v>5296.63268924336</v>
      </c>
      <c r="P233" s="38">
        <f t="shared" si="160"/>
        <v>5402.565343028227</v>
      </c>
    </row>
    <row r="234" spans="1:16" ht="14.25" customHeight="1">
      <c r="A234" s="16"/>
      <c r="B234" s="104"/>
      <c r="C234" s="92"/>
      <c r="D234" s="105"/>
      <c r="E234" s="105"/>
      <c r="F234" s="105"/>
      <c r="G234" s="50"/>
      <c r="H234" s="105"/>
      <c r="I234" s="105"/>
      <c r="J234" s="43"/>
      <c r="K234" s="43"/>
      <c r="L234" s="43"/>
      <c r="M234" s="102"/>
      <c r="N234" s="43"/>
      <c r="O234" s="43"/>
      <c r="P234" s="43"/>
    </row>
    <row r="235" spans="1:17" ht="14.25" customHeight="1" hidden="1">
      <c r="A235" s="16"/>
      <c r="B235" s="104"/>
      <c r="C235" s="4" t="s">
        <v>2</v>
      </c>
      <c r="D235" s="105">
        <f aca="true" t="shared" si="161" ref="D235:P235">D$49</f>
        <v>0.06</v>
      </c>
      <c r="E235" s="105">
        <f t="shared" si="161"/>
        <v>0.06</v>
      </c>
      <c r="F235" s="105">
        <f t="shared" si="161"/>
        <v>0.06</v>
      </c>
      <c r="G235" s="105">
        <f t="shared" si="161"/>
        <v>0.06</v>
      </c>
      <c r="H235" s="105">
        <f t="shared" si="161"/>
        <v>0.06</v>
      </c>
      <c r="I235" s="105">
        <f t="shared" si="161"/>
        <v>0.06</v>
      </c>
      <c r="J235" s="105">
        <f t="shared" si="161"/>
        <v>0.06</v>
      </c>
      <c r="K235" s="105">
        <f t="shared" si="161"/>
        <v>0.06</v>
      </c>
      <c r="L235" s="105">
        <f t="shared" si="161"/>
        <v>0.06</v>
      </c>
      <c r="M235" s="105">
        <f t="shared" si="161"/>
        <v>0.06</v>
      </c>
      <c r="N235" s="105">
        <f t="shared" si="161"/>
        <v>0.06</v>
      </c>
      <c r="O235" s="105">
        <f t="shared" si="161"/>
        <v>0.06</v>
      </c>
      <c r="P235" s="105">
        <f t="shared" si="161"/>
        <v>0.06</v>
      </c>
      <c r="Q235" s="49">
        <f>P235</f>
        <v>0.06</v>
      </c>
    </row>
    <row r="236" spans="1:17" ht="14.25" customHeight="1" hidden="1">
      <c r="A236" s="16"/>
      <c r="C236" s="158" t="s">
        <v>91</v>
      </c>
      <c r="D236" s="12">
        <v>1</v>
      </c>
      <c r="E236" s="12">
        <f>1/(1+D235)</f>
        <v>0.9433962264150942</v>
      </c>
      <c r="F236" s="12">
        <f aca="true" t="shared" si="162" ref="F236:Q236">E236/(1+E235)</f>
        <v>0.8899964400142398</v>
      </c>
      <c r="G236" s="98">
        <f t="shared" si="162"/>
        <v>0.8396192830323017</v>
      </c>
      <c r="H236" s="12">
        <f t="shared" si="162"/>
        <v>0.7920936632380204</v>
      </c>
      <c r="I236" s="12">
        <f t="shared" si="162"/>
        <v>0.747258172866057</v>
      </c>
      <c r="J236" s="12">
        <f t="shared" si="162"/>
        <v>0.7049605404396764</v>
      </c>
      <c r="K236" s="12">
        <f t="shared" si="162"/>
        <v>0.6650571136223362</v>
      </c>
      <c r="L236" s="12">
        <f t="shared" si="162"/>
        <v>0.6274123713418266</v>
      </c>
      <c r="M236" s="98">
        <f t="shared" si="162"/>
        <v>0.5918984635300251</v>
      </c>
      <c r="N236" s="12">
        <f t="shared" si="162"/>
        <v>0.558394776915118</v>
      </c>
      <c r="O236" s="12">
        <f t="shared" si="162"/>
        <v>0.5267875253916207</v>
      </c>
      <c r="P236" s="12">
        <f t="shared" si="162"/>
        <v>0.4969693635770006</v>
      </c>
      <c r="Q236" s="12">
        <f t="shared" si="162"/>
        <v>0.4688390222424534</v>
      </c>
    </row>
    <row r="237" spans="1:17" ht="14.25" customHeight="1" hidden="1">
      <c r="A237" s="45"/>
      <c r="B237" s="42"/>
      <c r="C237" s="39" t="s">
        <v>86</v>
      </c>
      <c r="D237" s="42"/>
      <c r="E237" s="23">
        <f>E226</f>
        <v>-23.09346356123183</v>
      </c>
      <c r="F237" s="23">
        <f aca="true" t="shared" si="163" ref="F237:P237">F226</f>
        <v>-168.96280991735517</v>
      </c>
      <c r="G237" s="23">
        <f t="shared" si="163"/>
        <v>123.74090909090935</v>
      </c>
      <c r="H237" s="23">
        <f t="shared" si="163"/>
        <v>180.82500000000033</v>
      </c>
      <c r="I237" s="23">
        <f t="shared" si="163"/>
        <v>184.44150000000022</v>
      </c>
      <c r="J237" s="23">
        <f t="shared" si="163"/>
        <v>188.1303300000005</v>
      </c>
      <c r="K237" s="23">
        <f t="shared" si="163"/>
        <v>191.89293660000027</v>
      </c>
      <c r="L237" s="23">
        <f t="shared" si="163"/>
        <v>195.73079533199993</v>
      </c>
      <c r="M237" s="23">
        <f t="shared" si="163"/>
        <v>199.64541123864058</v>
      </c>
      <c r="N237" s="23">
        <f t="shared" si="163"/>
        <v>203.63831946341327</v>
      </c>
      <c r="O237" s="23">
        <f t="shared" si="163"/>
        <v>207.71108585268212</v>
      </c>
      <c r="P237" s="23">
        <f t="shared" si="163"/>
        <v>211.8653075697345</v>
      </c>
      <c r="Q237" s="1">
        <f>P237*(1+O$5)+P237*(1+O$5)*(1+O$5)/(P235-O$5)</f>
        <v>5726.719263609925</v>
      </c>
    </row>
    <row r="238" spans="1:17" ht="14.25" customHeight="1" hidden="1">
      <c r="A238" s="16"/>
      <c r="C238" s="158" t="s">
        <v>54</v>
      </c>
      <c r="D238" s="1"/>
      <c r="E238" s="1">
        <f aca="true" t="shared" si="164" ref="E238:Q238">E237*E236</f>
        <v>-21.78628637852059</v>
      </c>
      <c r="F238" s="1">
        <f t="shared" si="164"/>
        <v>-150.3762993212488</v>
      </c>
      <c r="G238" s="29">
        <f t="shared" si="164"/>
        <v>103.89525337267453</v>
      </c>
      <c r="H238" s="1">
        <f t="shared" si="164"/>
        <v>143.23033665501532</v>
      </c>
      <c r="I238" s="1">
        <f t="shared" si="164"/>
        <v>137.825418290675</v>
      </c>
      <c r="J238" s="1">
        <f t="shared" si="164"/>
        <v>132.624459109895</v>
      </c>
      <c r="K238" s="1">
        <f t="shared" si="164"/>
        <v>127.61976253971014</v>
      </c>
      <c r="L238" s="1">
        <f t="shared" si="164"/>
        <v>122.8039224438718</v>
      </c>
      <c r="M238" s="29">
        <f t="shared" si="164"/>
        <v>118.16981216297135</v>
      </c>
      <c r="N238" s="1">
        <f t="shared" si="164"/>
        <v>113.71057396814217</v>
      </c>
      <c r="O238" s="1">
        <f t="shared" si="164"/>
        <v>109.41960891274088</v>
      </c>
      <c r="P238" s="1">
        <f t="shared" si="164"/>
        <v>105.29056706697645</v>
      </c>
      <c r="Q238" s="1">
        <f t="shared" si="164"/>
        <v>2684.9094602079</v>
      </c>
    </row>
    <row r="239" spans="1:16" ht="14.25" customHeight="1">
      <c r="A239" s="16"/>
      <c r="B239" s="157"/>
      <c r="C239" s="156" t="s">
        <v>92</v>
      </c>
      <c r="D239" s="52">
        <f>SUM(E238:$Q238)/D236</f>
        <v>3727.336589030803</v>
      </c>
      <c r="E239" s="52">
        <f>SUM(F238:$Q238)/E236</f>
        <v>3974.0702479338834</v>
      </c>
      <c r="F239" s="52">
        <f>SUM(G238:$Q238)/F236</f>
        <v>4381.477272727272</v>
      </c>
      <c r="G239" s="159">
        <f>SUM(H238:$Q238)/G236</f>
        <v>4520.624999999999</v>
      </c>
      <c r="H239" s="52">
        <f>SUM(I238:$Q238)/H236</f>
        <v>4611.0374999999985</v>
      </c>
      <c r="I239" s="52">
        <f>SUM(J238:$Q238)/I236</f>
        <v>4703.258249999998</v>
      </c>
      <c r="J239" s="52">
        <f>SUM(K238:$Q238)/J236</f>
        <v>4797.323414999998</v>
      </c>
      <c r="K239" s="52">
        <f>SUM(L238:$Q238)/K236</f>
        <v>4893.269883299998</v>
      </c>
      <c r="L239" s="52">
        <f>SUM(M238:$Q238)/L236</f>
        <v>4991.135280965998</v>
      </c>
      <c r="M239" s="159">
        <f>SUM(N238:$Q238)/M236</f>
        <v>5090.9579865853175</v>
      </c>
      <c r="N239" s="52">
        <f>SUM(O238:$Q238)/N236</f>
        <v>5192.777146317024</v>
      </c>
      <c r="O239" s="52">
        <f>SUM(P238:$Q238)/O236</f>
        <v>5296.6326892433635</v>
      </c>
      <c r="P239" s="52">
        <f>SUM(Q238:$Q238)/P236</f>
        <v>5402.565343028231</v>
      </c>
    </row>
    <row r="240" ht="10.5">
      <c r="D240" s="6">
        <f>(D239+D233+D223+D216+D207+D202+D194+D186+D178+D170)/10</f>
        <v>3727.3365890308014</v>
      </c>
    </row>
    <row r="241" spans="2:17" ht="10.5">
      <c r="B241" s="104" t="s">
        <v>95</v>
      </c>
      <c r="C241" s="104" t="s">
        <v>95</v>
      </c>
      <c r="D241" s="104" t="s">
        <v>95</v>
      </c>
      <c r="E241" s="104" t="s">
        <v>95</v>
      </c>
      <c r="F241" s="104" t="s">
        <v>95</v>
      </c>
      <c r="G241" s="104" t="s">
        <v>95</v>
      </c>
      <c r="H241" s="104" t="s">
        <v>95</v>
      </c>
      <c r="I241" s="104" t="s">
        <v>95</v>
      </c>
      <c r="J241" s="104" t="s">
        <v>95</v>
      </c>
      <c r="K241" s="104" t="s">
        <v>95</v>
      </c>
      <c r="L241" s="104" t="s">
        <v>95</v>
      </c>
      <c r="M241" s="104" t="s">
        <v>95</v>
      </c>
      <c r="N241" s="104" t="s">
        <v>95</v>
      </c>
      <c r="O241" s="104" t="s">
        <v>95</v>
      </c>
      <c r="P241" s="104" t="s">
        <v>95</v>
      </c>
      <c r="Q241" s="104" t="s">
        <v>95</v>
      </c>
    </row>
    <row r="243" spans="1:41" s="7" customFormat="1" ht="15.75" customHeight="1">
      <c r="A243" s="55"/>
      <c r="B243" s="56"/>
      <c r="C243" s="56"/>
      <c r="D243" s="92"/>
      <c r="E243" s="61"/>
      <c r="F243" s="155" t="s">
        <v>96</v>
      </c>
      <c r="G243" s="62"/>
      <c r="H243" s="61"/>
      <c r="I243" s="61"/>
      <c r="J243" s="61"/>
      <c r="K243" s="61"/>
      <c r="L243" s="61"/>
      <c r="M243" s="61"/>
      <c r="N243" s="61"/>
      <c r="O243" s="61"/>
      <c r="P243" s="61"/>
      <c r="Q243" s="4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</row>
    <row r="244" spans="1:41" s="7" customFormat="1" ht="12.75" customHeight="1">
      <c r="A244" s="55"/>
      <c r="B244" s="56"/>
      <c r="C244" s="56"/>
      <c r="D244" s="92"/>
      <c r="E244" s="61"/>
      <c r="F244" s="61"/>
      <c r="G244" s="62"/>
      <c r="H244" s="61"/>
      <c r="I244" s="61"/>
      <c r="J244" s="61"/>
      <c r="K244" s="61"/>
      <c r="L244" s="61"/>
      <c r="M244" s="61"/>
      <c r="N244" s="61"/>
      <c r="O244" s="61"/>
      <c r="P244" s="61"/>
      <c r="Q244" s="4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</row>
    <row r="245" spans="1:17" ht="12" customHeight="1" thickBot="1">
      <c r="A245" s="16"/>
      <c r="B245"/>
      <c r="C245"/>
      <c r="D245" s="66">
        <v>0</v>
      </c>
      <c r="E245" s="66">
        <v>1</v>
      </c>
      <c r="F245" s="66">
        <f aca="true" t="shared" si="165" ref="F245:Q245">E245+1</f>
        <v>2</v>
      </c>
      <c r="G245" s="150">
        <f t="shared" si="165"/>
        <v>3</v>
      </c>
      <c r="H245" s="66">
        <f t="shared" si="165"/>
        <v>4</v>
      </c>
      <c r="I245" s="103">
        <f t="shared" si="165"/>
        <v>5</v>
      </c>
      <c r="J245" s="103">
        <f t="shared" si="165"/>
        <v>6</v>
      </c>
      <c r="K245" s="103">
        <f t="shared" si="165"/>
        <v>7</v>
      </c>
      <c r="L245" s="103">
        <f t="shared" si="165"/>
        <v>8</v>
      </c>
      <c r="M245" s="111">
        <f t="shared" si="165"/>
        <v>9</v>
      </c>
      <c r="N245" s="103">
        <f t="shared" si="165"/>
        <v>10</v>
      </c>
      <c r="O245" s="103">
        <f t="shared" si="165"/>
        <v>11</v>
      </c>
      <c r="P245" s="103">
        <f t="shared" si="165"/>
        <v>12</v>
      </c>
      <c r="Q245" s="103">
        <f t="shared" si="165"/>
        <v>13</v>
      </c>
    </row>
    <row r="246" spans="1:17" ht="12" customHeight="1">
      <c r="A246" s="16"/>
      <c r="C246" s="4" t="s">
        <v>35</v>
      </c>
      <c r="D246" s="43">
        <f>$D$1</f>
        <v>1</v>
      </c>
      <c r="E246" s="43">
        <f aca="true" t="shared" si="166" ref="E246:Q246">D246</f>
        <v>1</v>
      </c>
      <c r="F246" s="43">
        <f t="shared" si="166"/>
        <v>1</v>
      </c>
      <c r="G246" s="143">
        <f t="shared" si="166"/>
        <v>1</v>
      </c>
      <c r="H246" s="43">
        <f t="shared" si="166"/>
        <v>1</v>
      </c>
      <c r="I246" s="43">
        <f t="shared" si="166"/>
        <v>1</v>
      </c>
      <c r="J246" s="43">
        <f t="shared" si="166"/>
        <v>1</v>
      </c>
      <c r="K246" s="43">
        <f t="shared" si="166"/>
        <v>1</v>
      </c>
      <c r="L246" s="43">
        <f t="shared" si="166"/>
        <v>1</v>
      </c>
      <c r="M246" s="8">
        <f t="shared" si="166"/>
        <v>1</v>
      </c>
      <c r="N246" s="43">
        <f t="shared" si="166"/>
        <v>1</v>
      </c>
      <c r="O246" s="43">
        <f t="shared" si="166"/>
        <v>1</v>
      </c>
      <c r="P246" s="8">
        <f t="shared" si="166"/>
        <v>1</v>
      </c>
      <c r="Q246" s="161">
        <f t="shared" si="166"/>
        <v>1</v>
      </c>
    </row>
    <row r="247" spans="1:17" ht="12" customHeight="1">
      <c r="A247" s="16"/>
      <c r="C247" s="4" t="s">
        <v>2</v>
      </c>
      <c r="D247" s="11">
        <f>$D$2</f>
        <v>0.06</v>
      </c>
      <c r="E247" s="11">
        <f aca="true" t="shared" si="167" ref="E247:Q247">D247</f>
        <v>0.06</v>
      </c>
      <c r="F247" s="11">
        <f t="shared" si="167"/>
        <v>0.06</v>
      </c>
      <c r="G247" s="54">
        <f t="shared" si="167"/>
        <v>0.06</v>
      </c>
      <c r="H247" s="11">
        <f t="shared" si="167"/>
        <v>0.06</v>
      </c>
      <c r="I247" s="11">
        <f t="shared" si="167"/>
        <v>0.06</v>
      </c>
      <c r="J247" s="11">
        <f t="shared" si="167"/>
        <v>0.06</v>
      </c>
      <c r="K247" s="11">
        <f t="shared" si="167"/>
        <v>0.06</v>
      </c>
      <c r="L247" s="11">
        <f t="shared" si="167"/>
        <v>0.06</v>
      </c>
      <c r="M247" s="54">
        <f t="shared" si="167"/>
        <v>0.06</v>
      </c>
      <c r="N247" s="11">
        <f t="shared" si="167"/>
        <v>0.06</v>
      </c>
      <c r="O247" s="11">
        <f t="shared" si="167"/>
        <v>0.06</v>
      </c>
      <c r="P247" s="11">
        <f t="shared" si="167"/>
        <v>0.06</v>
      </c>
      <c r="Q247" s="11">
        <f t="shared" si="167"/>
        <v>0.06</v>
      </c>
    </row>
    <row r="248" spans="1:17" ht="12" customHeight="1">
      <c r="A248" s="16"/>
      <c r="C248" s="4" t="s">
        <v>115</v>
      </c>
      <c r="D248" s="11">
        <f>$D$3</f>
        <v>0.04</v>
      </c>
      <c r="E248" s="11">
        <f aca="true" t="shared" si="168" ref="E248:Q248">D248</f>
        <v>0.04</v>
      </c>
      <c r="F248" s="11">
        <f t="shared" si="168"/>
        <v>0.04</v>
      </c>
      <c r="G248" s="54">
        <f t="shared" si="168"/>
        <v>0.04</v>
      </c>
      <c r="H248" s="11">
        <f t="shared" si="168"/>
        <v>0.04</v>
      </c>
      <c r="I248" s="11">
        <f t="shared" si="168"/>
        <v>0.04</v>
      </c>
      <c r="J248" s="11">
        <f t="shared" si="168"/>
        <v>0.04</v>
      </c>
      <c r="K248" s="11">
        <f t="shared" si="168"/>
        <v>0.04</v>
      </c>
      <c r="L248" s="11">
        <f t="shared" si="168"/>
        <v>0.04</v>
      </c>
      <c r="M248" s="54">
        <f t="shared" si="168"/>
        <v>0.04</v>
      </c>
      <c r="N248" s="11">
        <f t="shared" si="168"/>
        <v>0.04</v>
      </c>
      <c r="O248" s="11">
        <f t="shared" si="168"/>
        <v>0.04</v>
      </c>
      <c r="P248" s="11">
        <f t="shared" si="168"/>
        <v>0.04</v>
      </c>
      <c r="Q248" s="11">
        <f t="shared" si="168"/>
        <v>0.04</v>
      </c>
    </row>
    <row r="249" spans="1:41" s="7" customFormat="1" ht="11.25" customHeight="1">
      <c r="A249" s="16"/>
      <c r="C249" s="7" t="s">
        <v>36</v>
      </c>
      <c r="D249" s="51">
        <f aca="true" t="shared" si="169" ref="D249:Q249">D247+D246*D248</f>
        <v>0.1</v>
      </c>
      <c r="E249" s="51">
        <f t="shared" si="169"/>
        <v>0.1</v>
      </c>
      <c r="F249" s="51">
        <f t="shared" si="169"/>
        <v>0.1</v>
      </c>
      <c r="G249" s="50">
        <f t="shared" si="169"/>
        <v>0.1</v>
      </c>
      <c r="H249" s="51">
        <f t="shared" si="169"/>
        <v>0.1</v>
      </c>
      <c r="I249" s="51">
        <f t="shared" si="169"/>
        <v>0.1</v>
      </c>
      <c r="J249" s="51">
        <f t="shared" si="169"/>
        <v>0.1</v>
      </c>
      <c r="K249" s="51">
        <f t="shared" si="169"/>
        <v>0.1</v>
      </c>
      <c r="L249" s="51">
        <f t="shared" si="169"/>
        <v>0.1</v>
      </c>
      <c r="M249" s="50">
        <f t="shared" si="169"/>
        <v>0.1</v>
      </c>
      <c r="N249" s="51">
        <f t="shared" si="169"/>
        <v>0.1</v>
      </c>
      <c r="O249" s="51">
        <f t="shared" si="169"/>
        <v>0.1</v>
      </c>
      <c r="P249" s="51">
        <f t="shared" si="169"/>
        <v>0.1</v>
      </c>
      <c r="Q249" s="51">
        <f t="shared" si="169"/>
        <v>0.1</v>
      </c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</row>
    <row r="250" spans="1:41" s="7" customFormat="1" ht="11.25" customHeight="1" hidden="1">
      <c r="A250" s="16"/>
      <c r="C250" s="21" t="s">
        <v>37</v>
      </c>
      <c r="D250" s="12">
        <v>1</v>
      </c>
      <c r="E250" s="85">
        <f aca="true" t="shared" si="170" ref="E250:Q250">D250/(1+D249)</f>
        <v>0.9090909090909091</v>
      </c>
      <c r="F250" s="85">
        <f t="shared" si="170"/>
        <v>0.8264462809917354</v>
      </c>
      <c r="G250" s="94">
        <f t="shared" si="170"/>
        <v>0.7513148009015777</v>
      </c>
      <c r="H250" s="85">
        <f t="shared" si="170"/>
        <v>0.6830134553650705</v>
      </c>
      <c r="I250" s="85">
        <f t="shared" si="170"/>
        <v>0.6209213230591549</v>
      </c>
      <c r="J250" s="85">
        <f t="shared" si="170"/>
        <v>0.5644739300537771</v>
      </c>
      <c r="K250" s="85">
        <f t="shared" si="170"/>
        <v>0.5131581182307065</v>
      </c>
      <c r="L250" s="85">
        <f t="shared" si="170"/>
        <v>0.4665073802097331</v>
      </c>
      <c r="M250" s="94">
        <f t="shared" si="170"/>
        <v>0.4240976183724846</v>
      </c>
      <c r="N250" s="85">
        <f t="shared" si="170"/>
        <v>0.3855432894295314</v>
      </c>
      <c r="O250" s="85">
        <f t="shared" si="170"/>
        <v>0.35049389948139215</v>
      </c>
      <c r="P250" s="85">
        <f t="shared" si="170"/>
        <v>0.31863081771035645</v>
      </c>
      <c r="Q250" s="85">
        <f t="shared" si="170"/>
        <v>0.2896643797366877</v>
      </c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</row>
    <row r="251" spans="3:17" ht="11.25" customHeight="1" hidden="1">
      <c r="C251" s="4" t="s">
        <v>31</v>
      </c>
      <c r="E251" s="5">
        <f>E$41</f>
        <v>243</v>
      </c>
      <c r="F251" s="5">
        <f aca="true" t="shared" si="171" ref="F251:P251">F$41</f>
        <v>107</v>
      </c>
      <c r="G251" s="5">
        <f t="shared" si="171"/>
        <v>416</v>
      </c>
      <c r="H251" s="5">
        <f t="shared" si="171"/>
        <v>448.6500000000001</v>
      </c>
      <c r="I251" s="5">
        <f t="shared" si="171"/>
        <v>457.6229999999999</v>
      </c>
      <c r="J251" s="5">
        <f t="shared" si="171"/>
        <v>466.7754600000002</v>
      </c>
      <c r="K251" s="5">
        <f t="shared" si="171"/>
        <v>476.1109691999999</v>
      </c>
      <c r="L251" s="5">
        <f t="shared" si="171"/>
        <v>485.63318858399964</v>
      </c>
      <c r="M251" s="5">
        <f t="shared" si="171"/>
        <v>495.3458523556802</v>
      </c>
      <c r="N251" s="5">
        <f t="shared" si="171"/>
        <v>505.2527694027938</v>
      </c>
      <c r="O251" s="5">
        <f t="shared" si="171"/>
        <v>515.35782479085</v>
      </c>
      <c r="P251" s="5">
        <f t="shared" si="171"/>
        <v>525.6649812866659</v>
      </c>
      <c r="Q251" s="162">
        <f>P251*(1+O$5)+P251*(1+O$5)*(1+O$5)/(P249-O$5)</f>
        <v>7372.451362545489</v>
      </c>
    </row>
    <row r="252" spans="3:17" ht="11.25" customHeight="1" hidden="1">
      <c r="C252" s="21" t="s">
        <v>38</v>
      </c>
      <c r="E252" s="5">
        <f>E250*E251</f>
        <v>220.9090909090909</v>
      </c>
      <c r="F252" s="5">
        <f aca="true" t="shared" si="172" ref="F252:Q252">F250*F251</f>
        <v>88.4297520661157</v>
      </c>
      <c r="G252" s="93">
        <f t="shared" si="172"/>
        <v>312.5469571750563</v>
      </c>
      <c r="H252" s="5">
        <f t="shared" si="172"/>
        <v>306.433986749539</v>
      </c>
      <c r="I252" s="5">
        <f t="shared" si="172"/>
        <v>284.1478786222996</v>
      </c>
      <c r="J252" s="5">
        <f t="shared" si="172"/>
        <v>263.4825783588597</v>
      </c>
      <c r="K252" s="5">
        <f t="shared" si="172"/>
        <v>244.32020902366978</v>
      </c>
      <c r="L252" s="5">
        <f t="shared" si="172"/>
        <v>226.55146654922092</v>
      </c>
      <c r="M252" s="93">
        <f t="shared" si="172"/>
        <v>210.07499625473238</v>
      </c>
      <c r="N252" s="5">
        <f t="shared" si="172"/>
        <v>194.79681470893362</v>
      </c>
      <c r="O252" s="5">
        <f t="shared" si="172"/>
        <v>180.6297736391931</v>
      </c>
      <c r="P252" s="5">
        <f t="shared" si="172"/>
        <v>167.49306282906957</v>
      </c>
      <c r="Q252" s="5">
        <f t="shared" si="172"/>
        <v>2135.536551070637</v>
      </c>
    </row>
    <row r="253" spans="1:41" s="77" customFormat="1" ht="11.25" customHeight="1" thickBot="1">
      <c r="A253" s="64"/>
      <c r="C253" s="78" t="s">
        <v>39</v>
      </c>
      <c r="D253" s="79">
        <f>SUM(E252:$Q252)/D250</f>
        <v>4835.353117956418</v>
      </c>
      <c r="E253" s="79">
        <f>SUM(F252:$Q252)/E250</f>
        <v>5075.888429752059</v>
      </c>
      <c r="F253" s="79">
        <f>SUM(G252:$Q252)/F250</f>
        <v>5476.477272727266</v>
      </c>
      <c r="G253" s="95">
        <f>SUM(H252:$Q252)/G250</f>
        <v>5608.124999999993</v>
      </c>
      <c r="H253" s="79">
        <f>SUM(I252:$Q252)/H250</f>
        <v>5720.287499999992</v>
      </c>
      <c r="I253" s="79">
        <f>SUM(J252:$Q252)/I250</f>
        <v>5834.693249999993</v>
      </c>
      <c r="J253" s="79">
        <f>SUM(K252:$Q252)/J250</f>
        <v>5951.387114999992</v>
      </c>
      <c r="K253" s="79">
        <f>SUM(L252:$Q252)/K250</f>
        <v>6070.414857299992</v>
      </c>
      <c r="L253" s="79">
        <f>SUM(M252:$Q252)/L250</f>
        <v>6191.823154445992</v>
      </c>
      <c r="M253" s="95">
        <f>SUM(N252:$Q252)/M250</f>
        <v>6315.659617534911</v>
      </c>
      <c r="N253" s="79">
        <f>SUM(O252:$Q252)/N250</f>
        <v>6441.972809885611</v>
      </c>
      <c r="O253" s="79">
        <f>SUM(P252:$Q252)/O250</f>
        <v>6570.812266083322</v>
      </c>
      <c r="P253" s="79">
        <f>SUM(Q252:$Q252)/P250</f>
        <v>6702.22851140499</v>
      </c>
      <c r="Q253" s="80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</row>
    <row r="254" spans="1:17" ht="10.5" hidden="1">
      <c r="A254" s="16"/>
      <c r="C254" s="6" t="s">
        <v>40</v>
      </c>
      <c r="D254" s="6"/>
      <c r="E254" s="44" t="e">
        <f>#REF!/#REF!-1</f>
        <v>#REF!</v>
      </c>
      <c r="F254" s="44" t="e">
        <f>#REF!/#REF!-1</f>
        <v>#REF!</v>
      </c>
      <c r="G254" s="30" t="e">
        <f>#REF!/#REF!-1</f>
        <v>#REF!</v>
      </c>
      <c r="H254" s="44" t="e">
        <f>#REF!/#REF!-1</f>
        <v>#REF!</v>
      </c>
      <c r="I254" s="44" t="e">
        <f>#REF!/#REF!-1</f>
        <v>#REF!</v>
      </c>
      <c r="J254" s="44" t="e">
        <f>#REF!/#REF!-1</f>
        <v>#REF!</v>
      </c>
      <c r="K254" s="44" t="e">
        <f>#REF!/#REF!-1</f>
        <v>#REF!</v>
      </c>
      <c r="L254" s="44" t="e">
        <f>#REF!/#REF!-1</f>
        <v>#REF!</v>
      </c>
      <c r="M254" s="30" t="e">
        <f>#REF!/#REF!-1</f>
        <v>#REF!</v>
      </c>
      <c r="N254" s="44" t="e">
        <f>#REF!/#REF!-1</f>
        <v>#REF!</v>
      </c>
      <c r="O254" s="44" t="e">
        <f>#REF!/#REF!-1</f>
        <v>#REF!</v>
      </c>
      <c r="P254" s="44" t="e">
        <f>#REF!/#REF!-1</f>
        <v>#REF!</v>
      </c>
      <c r="Q254" s="44" t="e">
        <f>Q253/#REF!-1</f>
        <v>#REF!</v>
      </c>
    </row>
    <row r="255" spans="1:17" ht="6.75" customHeight="1">
      <c r="A255" s="16"/>
      <c r="D255" s="1"/>
      <c r="E255" s="1"/>
      <c r="F255" s="1"/>
      <c r="G255" s="29"/>
      <c r="H255" s="1"/>
      <c r="I255" s="1"/>
      <c r="J255" s="3"/>
      <c r="K255" s="3"/>
      <c r="L255" s="3"/>
      <c r="M255" s="35"/>
      <c r="N255" s="3"/>
      <c r="O255" s="3"/>
      <c r="P255" s="3"/>
      <c r="Q255" s="3"/>
    </row>
    <row r="256" spans="1:17" ht="12.75" customHeight="1">
      <c r="A256" s="16"/>
      <c r="C256" s="4" t="s">
        <v>41</v>
      </c>
      <c r="D256" s="1">
        <f aca="true" t="shared" si="173" ref="D256:Q256">D$13</f>
        <v>1500</v>
      </c>
      <c r="E256" s="1">
        <f t="shared" si="173"/>
        <v>1500</v>
      </c>
      <c r="F256" s="1">
        <f t="shared" si="173"/>
        <v>1500</v>
      </c>
      <c r="G256" s="1">
        <f t="shared" si="173"/>
        <v>1500</v>
      </c>
      <c r="H256" s="1">
        <f t="shared" si="173"/>
        <v>1530</v>
      </c>
      <c r="I256" s="1">
        <f t="shared" si="173"/>
        <v>1560.6000000000001</v>
      </c>
      <c r="J256" s="1">
        <f t="shared" si="173"/>
        <v>1591.8120000000001</v>
      </c>
      <c r="K256" s="1">
        <f t="shared" si="173"/>
        <v>1623.6482400000002</v>
      </c>
      <c r="L256" s="1">
        <f t="shared" si="173"/>
        <v>1656.1212048000002</v>
      </c>
      <c r="M256" s="1">
        <f t="shared" si="173"/>
        <v>1689.2436288960002</v>
      </c>
      <c r="N256" s="1">
        <f t="shared" si="173"/>
        <v>1723.0285014739202</v>
      </c>
      <c r="O256" s="1">
        <f t="shared" si="173"/>
        <v>1757.4890715033987</v>
      </c>
      <c r="P256" s="1">
        <f t="shared" si="173"/>
        <v>1792.6388529334668</v>
      </c>
      <c r="Q256" s="1">
        <f t="shared" si="173"/>
        <v>1828.491629992136</v>
      </c>
    </row>
    <row r="257" spans="1:17" s="69" customFormat="1" ht="12.75" customHeight="1" hidden="1">
      <c r="A257" s="55"/>
      <c r="C257" s="21" t="s">
        <v>42</v>
      </c>
      <c r="D257" s="12">
        <v>1</v>
      </c>
      <c r="E257" s="85">
        <f aca="true" t="shared" si="174" ref="E257:Q257">D257/(1+D$64)</f>
        <v>0.9259259259259258</v>
      </c>
      <c r="F257" s="85">
        <f t="shared" si="174"/>
        <v>0.8573388203017831</v>
      </c>
      <c r="G257" s="85">
        <f t="shared" si="174"/>
        <v>0.7938322410201695</v>
      </c>
      <c r="H257" s="85">
        <f t="shared" si="174"/>
        <v>0.7350298527964532</v>
      </c>
      <c r="I257" s="85">
        <f t="shared" si="174"/>
        <v>0.6805831970337529</v>
      </c>
      <c r="J257" s="85">
        <f t="shared" si="174"/>
        <v>0.6301696268831045</v>
      </c>
      <c r="K257" s="85">
        <f t="shared" si="174"/>
        <v>0.5834903952621338</v>
      </c>
      <c r="L257" s="85">
        <f t="shared" si="174"/>
        <v>0.5402688845019756</v>
      </c>
      <c r="M257" s="85">
        <f t="shared" si="174"/>
        <v>0.5002489671314588</v>
      </c>
      <c r="N257" s="85">
        <f t="shared" si="174"/>
        <v>0.4631934880846841</v>
      </c>
      <c r="O257" s="85">
        <f t="shared" si="174"/>
        <v>0.4288828593376704</v>
      </c>
      <c r="P257" s="85">
        <f t="shared" si="174"/>
        <v>0.3971137586459911</v>
      </c>
      <c r="Q257" s="85">
        <f t="shared" si="174"/>
        <v>0.36769792467221396</v>
      </c>
    </row>
    <row r="258" spans="1:17" s="69" customFormat="1" ht="12.75" customHeight="1" hidden="1">
      <c r="A258" s="55"/>
      <c r="C258" s="4" t="s">
        <v>32</v>
      </c>
      <c r="D258" s="86"/>
      <c r="E258" s="102">
        <f>E$42</f>
        <v>120</v>
      </c>
      <c r="F258" s="102">
        <f aca="true" t="shared" si="175" ref="F258:P258">F$42</f>
        <v>120</v>
      </c>
      <c r="G258" s="102">
        <f t="shared" si="175"/>
        <v>120</v>
      </c>
      <c r="H258" s="102">
        <f t="shared" si="175"/>
        <v>90</v>
      </c>
      <c r="I258" s="102">
        <f t="shared" si="175"/>
        <v>91.79999999999987</v>
      </c>
      <c r="J258" s="102">
        <f t="shared" si="175"/>
        <v>93.63600000000002</v>
      </c>
      <c r="K258" s="102">
        <f t="shared" si="175"/>
        <v>95.50871999999993</v>
      </c>
      <c r="L258" s="102">
        <f t="shared" si="175"/>
        <v>97.41889440000003</v>
      </c>
      <c r="M258" s="102">
        <f t="shared" si="175"/>
        <v>99.36727228799998</v>
      </c>
      <c r="N258" s="102">
        <f t="shared" si="175"/>
        <v>101.35461773376008</v>
      </c>
      <c r="O258" s="102">
        <f t="shared" si="175"/>
        <v>103.38171008843511</v>
      </c>
      <c r="P258" s="102">
        <f t="shared" si="175"/>
        <v>105.44934429020384</v>
      </c>
      <c r="Q258" s="162">
        <f>P258*(1+O$5)+P258*(1+O$5)*(1+O$5)/(P262-O$5)</f>
        <v>1936.0499611681423</v>
      </c>
    </row>
    <row r="259" spans="1:17" s="69" customFormat="1" ht="12.75" customHeight="1" hidden="1">
      <c r="A259" s="55"/>
      <c r="C259" s="21" t="s">
        <v>43</v>
      </c>
      <c r="D259" s="86"/>
      <c r="E259" s="87">
        <f aca="true" t="shared" si="176" ref="E259:Q259">E258*E257</f>
        <v>111.1111111111111</v>
      </c>
      <c r="F259" s="87">
        <f t="shared" si="176"/>
        <v>102.88065843621398</v>
      </c>
      <c r="G259" s="94">
        <f t="shared" si="176"/>
        <v>95.25986892242034</v>
      </c>
      <c r="H259" s="87">
        <f t="shared" si="176"/>
        <v>66.15268675168079</v>
      </c>
      <c r="I259" s="87">
        <f t="shared" si="176"/>
        <v>62.47753748769843</v>
      </c>
      <c r="J259" s="87">
        <f t="shared" si="176"/>
        <v>59.00656318282639</v>
      </c>
      <c r="K259" s="87">
        <f t="shared" si="176"/>
        <v>55.728420783780415</v>
      </c>
      <c r="L259" s="87">
        <f t="shared" si="176"/>
        <v>52.63239740690378</v>
      </c>
      <c r="M259" s="94">
        <f t="shared" si="176"/>
        <v>49.70837532874242</v>
      </c>
      <c r="N259" s="87">
        <f t="shared" si="176"/>
        <v>46.94679892159011</v>
      </c>
      <c r="O259" s="87">
        <f t="shared" si="176"/>
        <v>44.33864342594614</v>
      </c>
      <c r="P259" s="87">
        <f t="shared" si="176"/>
        <v>41.87538545783802</v>
      </c>
      <c r="Q259" s="87">
        <f t="shared" si="176"/>
        <v>711.8815527832463</v>
      </c>
    </row>
    <row r="260" spans="1:17" ht="12.75" customHeight="1" thickBot="1">
      <c r="A260" s="64"/>
      <c r="B260" s="65"/>
      <c r="C260" s="119" t="s">
        <v>44</v>
      </c>
      <c r="D260" s="79">
        <f>SUM(E259:$Q259)/D257</f>
        <v>1499.9999999999982</v>
      </c>
      <c r="E260" s="79">
        <f>SUM(F259:$Q259)/E257</f>
        <v>1499.9999999999982</v>
      </c>
      <c r="F260" s="79">
        <f>SUM(G259:$Q259)/F257</f>
        <v>1499.9999999999982</v>
      </c>
      <c r="G260" s="95">
        <f>SUM(H259:$Q259)/G257</f>
        <v>1499.9999999999982</v>
      </c>
      <c r="H260" s="79">
        <f>SUM(I259:$Q259)/H257</f>
        <v>1529.9999999999984</v>
      </c>
      <c r="I260" s="79">
        <f>SUM(J259:$Q259)/I257</f>
        <v>1560.5999999999983</v>
      </c>
      <c r="J260" s="79">
        <f>SUM(K259:$Q259)/J257</f>
        <v>1591.811999999998</v>
      </c>
      <c r="K260" s="79">
        <f>SUM(L259:$Q259)/K257</f>
        <v>1623.6482399999982</v>
      </c>
      <c r="L260" s="79">
        <f>SUM(M259:$Q259)/L257</f>
        <v>1656.1212047999982</v>
      </c>
      <c r="M260" s="95">
        <f>SUM(N259:$Q259)/M257</f>
        <v>1689.2436288959984</v>
      </c>
      <c r="N260" s="79">
        <f>SUM(O259:$Q259)/N257</f>
        <v>1723.0285014739184</v>
      </c>
      <c r="O260" s="79">
        <f>SUM(P259:$Q259)/O257</f>
        <v>1757.4890715033969</v>
      </c>
      <c r="P260" s="79">
        <f>SUM(Q259:$Q259)/P257</f>
        <v>1792.638852933465</v>
      </c>
      <c r="Q260" s="67"/>
    </row>
    <row r="261" spans="1:17" ht="12" customHeight="1">
      <c r="A261" s="16"/>
      <c r="C261" s="7" t="s">
        <v>4</v>
      </c>
      <c r="D261" s="51">
        <f>$D$4</f>
        <v>0.08</v>
      </c>
      <c r="E261" s="139">
        <f aca="true" t="shared" si="177" ref="E261:Q261">D261</f>
        <v>0.08</v>
      </c>
      <c r="F261" s="139">
        <f t="shared" si="177"/>
        <v>0.08</v>
      </c>
      <c r="G261" s="140">
        <f t="shared" si="177"/>
        <v>0.08</v>
      </c>
      <c r="H261" s="139">
        <f t="shared" si="177"/>
        <v>0.08</v>
      </c>
      <c r="I261" s="139">
        <f t="shared" si="177"/>
        <v>0.08</v>
      </c>
      <c r="J261" s="139">
        <f t="shared" si="177"/>
        <v>0.08</v>
      </c>
      <c r="K261" s="139">
        <f t="shared" si="177"/>
        <v>0.08</v>
      </c>
      <c r="L261" s="139">
        <f t="shared" si="177"/>
        <v>0.08</v>
      </c>
      <c r="M261" s="140">
        <f t="shared" si="177"/>
        <v>0.08</v>
      </c>
      <c r="N261" s="139">
        <f t="shared" si="177"/>
        <v>0.08</v>
      </c>
      <c r="O261" s="139">
        <f t="shared" si="177"/>
        <v>0.08</v>
      </c>
      <c r="P261" s="139">
        <f t="shared" si="177"/>
        <v>0.08</v>
      </c>
      <c r="Q261" s="139">
        <f t="shared" si="177"/>
        <v>0.08</v>
      </c>
    </row>
    <row r="262" spans="1:41" s="107" customFormat="1" ht="12" customHeight="1">
      <c r="A262" s="16"/>
      <c r="C262" s="107" t="s">
        <v>5</v>
      </c>
      <c r="D262" s="51">
        <f>$D$5</f>
        <v>0.08</v>
      </c>
      <c r="E262" s="51">
        <f aca="true" t="shared" si="178" ref="E262:Q262">D262</f>
        <v>0.08</v>
      </c>
      <c r="F262" s="51">
        <f t="shared" si="178"/>
        <v>0.08</v>
      </c>
      <c r="G262" s="50">
        <f t="shared" si="178"/>
        <v>0.08</v>
      </c>
      <c r="H262" s="51">
        <f t="shared" si="178"/>
        <v>0.08</v>
      </c>
      <c r="I262" s="51">
        <f t="shared" si="178"/>
        <v>0.08</v>
      </c>
      <c r="J262" s="51">
        <f t="shared" si="178"/>
        <v>0.08</v>
      </c>
      <c r="K262" s="51">
        <f t="shared" si="178"/>
        <v>0.08</v>
      </c>
      <c r="L262" s="51">
        <f t="shared" si="178"/>
        <v>0.08</v>
      </c>
      <c r="M262" s="50">
        <f t="shared" si="178"/>
        <v>0.08</v>
      </c>
      <c r="N262" s="51">
        <f t="shared" si="178"/>
        <v>0.08</v>
      </c>
      <c r="O262" s="51">
        <f t="shared" si="178"/>
        <v>0.08</v>
      </c>
      <c r="P262" s="51">
        <f t="shared" si="178"/>
        <v>0.08</v>
      </c>
      <c r="Q262" s="51">
        <f t="shared" si="178"/>
        <v>0.08</v>
      </c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  <c r="AL262" s="106"/>
      <c r="AM262" s="106"/>
      <c r="AN262" s="106"/>
      <c r="AO262" s="106"/>
    </row>
    <row r="263" spans="1:41" s="42" customFormat="1" ht="12" customHeight="1">
      <c r="A263" s="45"/>
      <c r="C263" s="42" t="s">
        <v>45</v>
      </c>
      <c r="D263" s="81">
        <f aca="true" t="shared" si="179" ref="D263:Q263">(D262-D247)/D248</f>
        <v>0.5000000000000001</v>
      </c>
      <c r="E263" s="81">
        <f t="shared" si="179"/>
        <v>0.5000000000000001</v>
      </c>
      <c r="F263" s="81">
        <f t="shared" si="179"/>
        <v>0.5000000000000001</v>
      </c>
      <c r="G263" s="144">
        <f t="shared" si="179"/>
        <v>0.5000000000000001</v>
      </c>
      <c r="H263" s="81">
        <f t="shared" si="179"/>
        <v>0.5000000000000001</v>
      </c>
      <c r="I263" s="81">
        <f t="shared" si="179"/>
        <v>0.5000000000000001</v>
      </c>
      <c r="J263" s="82">
        <f t="shared" si="179"/>
        <v>0.5000000000000001</v>
      </c>
      <c r="K263" s="82">
        <f t="shared" si="179"/>
        <v>0.5000000000000001</v>
      </c>
      <c r="L263" s="82">
        <f t="shared" si="179"/>
        <v>0.5000000000000001</v>
      </c>
      <c r="M263" s="83">
        <f t="shared" si="179"/>
        <v>0.5000000000000001</v>
      </c>
      <c r="N263" s="82">
        <f t="shared" si="179"/>
        <v>0.5000000000000001</v>
      </c>
      <c r="O263" s="82">
        <f t="shared" si="179"/>
        <v>0.5000000000000001</v>
      </c>
      <c r="P263" s="82">
        <f t="shared" si="179"/>
        <v>0.5000000000000001</v>
      </c>
      <c r="Q263" s="84">
        <f t="shared" si="179"/>
        <v>0.5000000000000001</v>
      </c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</row>
    <row r="264" spans="1:17" ht="11.25" customHeight="1">
      <c r="A264" s="16"/>
      <c r="D264"/>
      <c r="E264" s="43"/>
      <c r="F264" s="43"/>
      <c r="G264" s="143"/>
      <c r="H264" s="43"/>
      <c r="I264" s="43"/>
      <c r="J264" s="2"/>
      <c r="K264" s="2"/>
      <c r="L264" s="2"/>
      <c r="M264" s="8"/>
      <c r="N264" s="2"/>
      <c r="O264" s="2"/>
      <c r="P264" s="2"/>
      <c r="Q264" s="2"/>
    </row>
    <row r="265" spans="1:17" ht="11.25" customHeight="1" hidden="1">
      <c r="A265" s="16"/>
      <c r="C265" s="158" t="s">
        <v>107</v>
      </c>
      <c r="D265" s="43"/>
      <c r="E265" s="43">
        <f aca="true" t="shared" si="180" ref="E265:P265">D260*D262*$H$3-D260*(D262-D247)</f>
        <v>11.999999999999982</v>
      </c>
      <c r="F265" s="43">
        <f t="shared" si="180"/>
        <v>11.999999999999982</v>
      </c>
      <c r="G265" s="43">
        <f t="shared" si="180"/>
        <v>11.999999999999982</v>
      </c>
      <c r="H265" s="43">
        <f t="shared" si="180"/>
        <v>11.999999999999982</v>
      </c>
      <c r="I265" s="43">
        <f t="shared" si="180"/>
        <v>12.23999999999998</v>
      </c>
      <c r="J265" s="43">
        <f t="shared" si="180"/>
        <v>12.484799999999982</v>
      </c>
      <c r="K265" s="43">
        <f t="shared" si="180"/>
        <v>12.734495999999972</v>
      </c>
      <c r="L265" s="43">
        <f t="shared" si="180"/>
        <v>12.989185919999976</v>
      </c>
      <c r="M265" s="43">
        <f t="shared" si="180"/>
        <v>13.248969638399977</v>
      </c>
      <c r="N265" s="43">
        <f t="shared" si="180"/>
        <v>13.513949031167975</v>
      </c>
      <c r="O265" s="43">
        <f t="shared" si="180"/>
        <v>13.784228011791335</v>
      </c>
      <c r="P265" s="43">
        <f t="shared" si="180"/>
        <v>14.059912572027166</v>
      </c>
      <c r="Q265" s="162">
        <f>P265*(1+O$5)+P265*(1+O$5)*(1+O$5)/(P249-O$5)</f>
        <v>197.190273822681</v>
      </c>
    </row>
    <row r="266" spans="3:17" ht="11.25" customHeight="1" hidden="1">
      <c r="C266" s="21" t="s">
        <v>47</v>
      </c>
      <c r="E266" s="5">
        <f>E250*E265</f>
        <v>10.909090909090892</v>
      </c>
      <c r="F266" s="5">
        <f aca="true" t="shared" si="181" ref="F266:Q266">F250*F265</f>
        <v>9.917355371900811</v>
      </c>
      <c r="G266" s="93">
        <f t="shared" si="181"/>
        <v>9.015777610818919</v>
      </c>
      <c r="H266" s="5">
        <f t="shared" si="181"/>
        <v>8.196161464380834</v>
      </c>
      <c r="I266" s="5">
        <f t="shared" si="181"/>
        <v>7.600076994244044</v>
      </c>
      <c r="J266" s="5">
        <f t="shared" si="181"/>
        <v>7.047344121935386</v>
      </c>
      <c r="K266" s="5">
        <f t="shared" si="181"/>
        <v>6.534810003976443</v>
      </c>
      <c r="L266" s="5">
        <f t="shared" si="181"/>
        <v>6.0595510945963404</v>
      </c>
      <c r="M266" s="93">
        <f t="shared" si="181"/>
        <v>5.618856469534789</v>
      </c>
      <c r="N266" s="5">
        <f t="shared" si="181"/>
        <v>5.21021236265953</v>
      </c>
      <c r="O266" s="5">
        <f t="shared" si="181"/>
        <v>4.831287827193382</v>
      </c>
      <c r="P266" s="5">
        <f t="shared" si="181"/>
        <v>4.479921439761137</v>
      </c>
      <c r="Q266" s="5">
        <f t="shared" si="181"/>
        <v>57.1189983569545</v>
      </c>
    </row>
    <row r="267" spans="1:17" ht="11.25" customHeight="1">
      <c r="A267" s="16"/>
      <c r="C267" s="164" t="s">
        <v>106</v>
      </c>
      <c r="D267" s="70">
        <f>SUM(E266:$Q266)/D250</f>
        <v>142.539444027047</v>
      </c>
      <c r="E267" s="70">
        <f>SUM(F266:$Q266)/E250</f>
        <v>144.79338842975176</v>
      </c>
      <c r="F267" s="70">
        <f>SUM(G266:$Q266)/F250</f>
        <v>147.27272727272697</v>
      </c>
      <c r="G267" s="29">
        <f>SUM(H266:$Q266)/G250</f>
        <v>149.99999999999963</v>
      </c>
      <c r="H267" s="70">
        <f>SUM(I266:$Q266)/H250</f>
        <v>152.99999999999966</v>
      </c>
      <c r="I267" s="70">
        <f>SUM(J266:$Q266)/I250</f>
        <v>156.05999999999966</v>
      </c>
      <c r="J267" s="70">
        <f>SUM(K266:$Q266)/J250</f>
        <v>159.18119999999965</v>
      </c>
      <c r="K267" s="70">
        <f>SUM(L266:$Q266)/K250</f>
        <v>162.3648239999997</v>
      </c>
      <c r="L267" s="70">
        <f>SUM(M266:$Q266)/L250</f>
        <v>165.61212047999967</v>
      </c>
      <c r="M267" s="29">
        <f>SUM(N266:$Q266)/M250</f>
        <v>168.92436288959968</v>
      </c>
      <c r="N267" s="70">
        <f>SUM(O266:$Q266)/N250</f>
        <v>172.3028501473917</v>
      </c>
      <c r="O267" s="70">
        <f>SUM(P266:$Q266)/O250</f>
        <v>175.74890715033956</v>
      </c>
      <c r="P267" s="70">
        <f>SUM(Q266:$Q266)/P250</f>
        <v>179.2638852933464</v>
      </c>
      <c r="Q267" s="70">
        <f>SUM($Q266:R266)/Q250</f>
        <v>197.190273822681</v>
      </c>
    </row>
    <row r="268" spans="1:17" ht="12" customHeight="1">
      <c r="A268" s="16"/>
      <c r="C268" s="158" t="s">
        <v>103</v>
      </c>
      <c r="D268" s="1">
        <f aca="true" t="shared" si="182" ref="D268:P268">D267+D253</f>
        <v>4977.8925619834645</v>
      </c>
      <c r="E268" s="1">
        <f t="shared" si="182"/>
        <v>5220.681818181811</v>
      </c>
      <c r="F268" s="1">
        <f t="shared" si="182"/>
        <v>5623.749999999993</v>
      </c>
      <c r="G268" s="29">
        <f t="shared" si="182"/>
        <v>5758.124999999993</v>
      </c>
      <c r="H268" s="1">
        <f t="shared" si="182"/>
        <v>5873.287499999992</v>
      </c>
      <c r="I268" s="1">
        <f t="shared" si="182"/>
        <v>5990.7532499999925</v>
      </c>
      <c r="J268" s="1">
        <f t="shared" si="182"/>
        <v>6110.568314999992</v>
      </c>
      <c r="K268" s="1">
        <f t="shared" si="182"/>
        <v>6232.779681299991</v>
      </c>
      <c r="L268" s="1">
        <f t="shared" si="182"/>
        <v>6357.4352749259915</v>
      </c>
      <c r="M268" s="29">
        <f t="shared" si="182"/>
        <v>6484.583980424511</v>
      </c>
      <c r="N268" s="1">
        <f t="shared" si="182"/>
        <v>6614.275660033003</v>
      </c>
      <c r="O268" s="1">
        <f t="shared" si="182"/>
        <v>6746.561173233662</v>
      </c>
      <c r="P268" s="1">
        <f t="shared" si="182"/>
        <v>6881.492396698336</v>
      </c>
      <c r="Q268" s="1"/>
    </row>
    <row r="269" spans="1:41" s="65" customFormat="1" ht="12" customHeight="1" thickBot="1">
      <c r="A269" s="64"/>
      <c r="B269" s="65" t="s">
        <v>48</v>
      </c>
      <c r="C269" s="77" t="s">
        <v>49</v>
      </c>
      <c r="D269" s="112">
        <f aca="true" t="shared" si="183" ref="D269:P269">D268-D260</f>
        <v>3477.8925619834663</v>
      </c>
      <c r="E269" s="79">
        <f t="shared" si="183"/>
        <v>3720.6818181818126</v>
      </c>
      <c r="F269" s="79">
        <f t="shared" si="183"/>
        <v>4123.7499999999945</v>
      </c>
      <c r="G269" s="95">
        <f t="shared" si="183"/>
        <v>4258.1249999999945</v>
      </c>
      <c r="H269" s="79">
        <f t="shared" si="183"/>
        <v>4343.287499999994</v>
      </c>
      <c r="I269" s="79">
        <f t="shared" si="183"/>
        <v>4430.153249999994</v>
      </c>
      <c r="J269" s="79">
        <f t="shared" si="183"/>
        <v>4518.756314999994</v>
      </c>
      <c r="K269" s="79">
        <f t="shared" si="183"/>
        <v>4609.131441299993</v>
      </c>
      <c r="L269" s="79">
        <f t="shared" si="183"/>
        <v>4701.314070125994</v>
      </c>
      <c r="M269" s="95">
        <f t="shared" si="183"/>
        <v>4795.340351528512</v>
      </c>
      <c r="N269" s="79">
        <f t="shared" si="183"/>
        <v>4891.247158559085</v>
      </c>
      <c r="O269" s="79">
        <f t="shared" si="183"/>
        <v>4989.072101730265</v>
      </c>
      <c r="P269" s="79">
        <f t="shared" si="183"/>
        <v>5088.853543764872</v>
      </c>
      <c r="Q269" s="7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</row>
    <row r="270" spans="1:17" ht="10.5" hidden="1">
      <c r="A270" s="16"/>
      <c r="C270" s="6" t="s">
        <v>50</v>
      </c>
      <c r="D270" s="6"/>
      <c r="E270" s="44">
        <f aca="true" t="shared" si="184" ref="E270:Q270">E269/D269-1</f>
        <v>0.06980930315451772</v>
      </c>
      <c r="F270" s="44">
        <f t="shared" si="184"/>
        <v>0.10833180624274652</v>
      </c>
      <c r="G270" s="30">
        <f t="shared" si="184"/>
        <v>0.032585632009699994</v>
      </c>
      <c r="H270" s="44">
        <f t="shared" si="184"/>
        <v>0.019999999999999796</v>
      </c>
      <c r="I270" s="44">
        <f t="shared" si="184"/>
        <v>0.020000000000000018</v>
      </c>
      <c r="J270" s="44">
        <f t="shared" si="184"/>
        <v>0.020000000000000018</v>
      </c>
      <c r="K270" s="44">
        <f t="shared" si="184"/>
        <v>0.019999999999999796</v>
      </c>
      <c r="L270" s="44">
        <f t="shared" si="184"/>
        <v>0.02000000000000024</v>
      </c>
      <c r="M270" s="30">
        <f t="shared" si="184"/>
        <v>0.019999999999999574</v>
      </c>
      <c r="N270" s="44">
        <f t="shared" si="184"/>
        <v>0.020000000000000462</v>
      </c>
      <c r="O270" s="44">
        <f t="shared" si="184"/>
        <v>0.019999999999999796</v>
      </c>
      <c r="P270" s="44">
        <f t="shared" si="184"/>
        <v>0.02000000000000024</v>
      </c>
      <c r="Q270" s="44">
        <f t="shared" si="184"/>
        <v>-1</v>
      </c>
    </row>
    <row r="271" spans="1:17" ht="9" customHeight="1">
      <c r="A271" s="16"/>
      <c r="C271" s="6"/>
      <c r="D271" s="6"/>
      <c r="E271" s="6"/>
      <c r="F271" s="6"/>
      <c r="G271" s="145"/>
      <c r="H271" s="6"/>
      <c r="I271" s="6"/>
      <c r="J271" s="6"/>
      <c r="K271" s="6"/>
      <c r="L271" s="6"/>
      <c r="M271" s="30"/>
      <c r="N271" s="6"/>
      <c r="O271" s="6"/>
      <c r="P271" s="6"/>
      <c r="Q271" s="44"/>
    </row>
    <row r="272" spans="1:17" ht="12.75" customHeight="1">
      <c r="A272" s="16"/>
      <c r="C272" s="4" t="s">
        <v>51</v>
      </c>
      <c r="D272" s="12">
        <f aca="true" t="shared" si="185" ref="D272:P272">D246+D246*D260/D269</f>
        <v>1.4312956692211727</v>
      </c>
      <c r="E272" s="12">
        <f t="shared" si="185"/>
        <v>1.4031519149715963</v>
      </c>
      <c r="F272" s="12">
        <f t="shared" si="185"/>
        <v>1.36374658987572</v>
      </c>
      <c r="G272" s="12">
        <f t="shared" si="185"/>
        <v>1.352267723469837</v>
      </c>
      <c r="H272" s="12">
        <f t="shared" si="185"/>
        <v>1.3522677234698373</v>
      </c>
      <c r="I272" s="12">
        <f t="shared" si="185"/>
        <v>1.3522677234698373</v>
      </c>
      <c r="J272" s="12">
        <f t="shared" si="185"/>
        <v>1.352267723469837</v>
      </c>
      <c r="K272" s="12">
        <f t="shared" si="185"/>
        <v>1.3522677234698373</v>
      </c>
      <c r="L272" s="12">
        <f t="shared" si="185"/>
        <v>1.3522677234698373</v>
      </c>
      <c r="M272" s="12">
        <f t="shared" si="185"/>
        <v>1.3522677234698373</v>
      </c>
      <c r="N272" s="12">
        <f t="shared" si="185"/>
        <v>1.3522677234698373</v>
      </c>
      <c r="O272" s="12">
        <f t="shared" si="185"/>
        <v>1.3522677234698373</v>
      </c>
      <c r="P272" s="12">
        <f t="shared" si="185"/>
        <v>1.3522677234698373</v>
      </c>
      <c r="Q272" s="12"/>
    </row>
    <row r="273" spans="1:41" s="7" customFormat="1" ht="12.75" customHeight="1">
      <c r="A273" s="16"/>
      <c r="C273" s="7" t="s">
        <v>52</v>
      </c>
      <c r="D273" s="51">
        <f>D247+D248*D272</f>
        <v>0.1172518267688469</v>
      </c>
      <c r="E273" s="51">
        <f>E247+E248*E272</f>
        <v>0.11612607659886384</v>
      </c>
      <c r="F273" s="51">
        <f aca="true" t="shared" si="186" ref="F273:P273">F247+F248*F272</f>
        <v>0.1145498635950288</v>
      </c>
      <c r="G273" s="50">
        <f t="shared" si="186"/>
        <v>0.11409070893879347</v>
      </c>
      <c r="H273" s="51">
        <f t="shared" si="186"/>
        <v>0.11409070893879349</v>
      </c>
      <c r="I273" s="51">
        <f t="shared" si="186"/>
        <v>0.11409070893879349</v>
      </c>
      <c r="J273" s="51">
        <f t="shared" si="186"/>
        <v>0.11409070893879347</v>
      </c>
      <c r="K273" s="51">
        <f t="shared" si="186"/>
        <v>0.11409070893879349</v>
      </c>
      <c r="L273" s="51">
        <f t="shared" si="186"/>
        <v>0.11409070893879349</v>
      </c>
      <c r="M273" s="50">
        <f t="shared" si="186"/>
        <v>0.11409070893879349</v>
      </c>
      <c r="N273" s="51">
        <f t="shared" si="186"/>
        <v>0.11409070893879349</v>
      </c>
      <c r="O273" s="51">
        <f t="shared" si="186"/>
        <v>0.11409070893879349</v>
      </c>
      <c r="P273" s="51">
        <f t="shared" si="186"/>
        <v>0.11409070893879349</v>
      </c>
      <c r="Q273" s="51">
        <f>P273</f>
        <v>0.11409070893879349</v>
      </c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</row>
    <row r="274" spans="1:17" ht="12.75" customHeight="1" hidden="1">
      <c r="A274" s="16"/>
      <c r="C274" s="21" t="s">
        <v>53</v>
      </c>
      <c r="D274" s="12">
        <v>1</v>
      </c>
      <c r="E274" s="12">
        <f>1/(1+D273)</f>
        <v>0.8950533586434621</v>
      </c>
      <c r="F274" s="46">
        <f aca="true" t="shared" si="187" ref="F274:Q274">E274/(1+E273)</f>
        <v>0.8019285432080668</v>
      </c>
      <c r="G274" s="96">
        <f t="shared" si="187"/>
        <v>0.7195088971806175</v>
      </c>
      <c r="H274" s="46">
        <f t="shared" si="187"/>
        <v>0.6458261355271263</v>
      </c>
      <c r="I274" s="46">
        <f t="shared" si="187"/>
        <v>0.579689005882022</v>
      </c>
      <c r="J274" s="46">
        <f t="shared" si="187"/>
        <v>0.5203247825611921</v>
      </c>
      <c r="K274" s="46">
        <f t="shared" si="187"/>
        <v>0.46703987241471373</v>
      </c>
      <c r="L274" s="46">
        <f t="shared" si="187"/>
        <v>0.41921171109988337</v>
      </c>
      <c r="M274" s="96">
        <f t="shared" si="187"/>
        <v>0.3762814892327715</v>
      </c>
      <c r="N274" s="46">
        <f t="shared" si="187"/>
        <v>0.3377476234329173</v>
      </c>
      <c r="O274" s="46">
        <f t="shared" si="187"/>
        <v>0.30315989597887644</v>
      </c>
      <c r="P274" s="46">
        <f t="shared" si="187"/>
        <v>0.2721141946041771</v>
      </c>
      <c r="Q274" s="46">
        <f t="shared" si="187"/>
        <v>0.24424779097509433</v>
      </c>
    </row>
    <row r="275" spans="1:17" ht="12.75" customHeight="1" hidden="1">
      <c r="A275" s="16"/>
      <c r="B275" s="42"/>
      <c r="C275" s="42" t="s">
        <v>122</v>
      </c>
      <c r="D275" s="42"/>
      <c r="E275" s="23">
        <f>E$40</f>
        <v>165</v>
      </c>
      <c r="F275" s="23">
        <f aca="true" t="shared" si="188" ref="F275:P275">F$40</f>
        <v>29</v>
      </c>
      <c r="G275" s="23">
        <f t="shared" si="188"/>
        <v>338</v>
      </c>
      <c r="H275" s="23">
        <f t="shared" si="188"/>
        <v>400.6500000000001</v>
      </c>
      <c r="I275" s="23">
        <f t="shared" si="188"/>
        <v>408.663</v>
      </c>
      <c r="J275" s="23">
        <f t="shared" si="188"/>
        <v>416.83626000000015</v>
      </c>
      <c r="K275" s="23">
        <f t="shared" si="188"/>
        <v>425.17298519999997</v>
      </c>
      <c r="L275" s="23">
        <f t="shared" si="188"/>
        <v>433.6764449039996</v>
      </c>
      <c r="M275" s="23">
        <f t="shared" si="188"/>
        <v>442.3499738020803</v>
      </c>
      <c r="N275" s="23">
        <f t="shared" si="188"/>
        <v>451.19697327812173</v>
      </c>
      <c r="O275" s="23">
        <f t="shared" si="188"/>
        <v>460.2209127436847</v>
      </c>
      <c r="P275" s="23">
        <f t="shared" si="188"/>
        <v>469.42533099855723</v>
      </c>
      <c r="Q275" s="1">
        <f>P275*(1+O$5)+P275*(1+O$5)*(1+O$5)/(P273-O$5)</f>
        <v>5669.444452258698</v>
      </c>
    </row>
    <row r="276" spans="1:41" s="134" customFormat="1" ht="12.75" customHeight="1" hidden="1">
      <c r="A276" s="133"/>
      <c r="C276" s="135" t="s">
        <v>54</v>
      </c>
      <c r="D276" s="136"/>
      <c r="E276" s="136">
        <f>E275*E274</f>
        <v>147.68380417617126</v>
      </c>
      <c r="F276" s="136">
        <f>F275*F274</f>
        <v>23.255927753033937</v>
      </c>
      <c r="G276" s="137">
        <f aca="true" t="shared" si="189" ref="G276:Q276">G275*G274</f>
        <v>243.19400724704872</v>
      </c>
      <c r="H276" s="136">
        <f t="shared" si="189"/>
        <v>258.75024119894323</v>
      </c>
      <c r="I276" s="136">
        <f t="shared" si="189"/>
        <v>236.89744821076476</v>
      </c>
      <c r="J276" s="136">
        <f t="shared" si="189"/>
        <v>216.8902363481206</v>
      </c>
      <c r="K276" s="136">
        <f t="shared" si="189"/>
        <v>198.57273676199097</v>
      </c>
      <c r="L276" s="136">
        <f t="shared" si="189"/>
        <v>181.80224453191997</v>
      </c>
      <c r="M276" s="137">
        <f t="shared" si="189"/>
        <v>166.44810690432422</v>
      </c>
      <c r="N276" s="136">
        <f t="shared" si="189"/>
        <v>152.3907054248111</v>
      </c>
      <c r="O276" s="136">
        <f t="shared" si="189"/>
        <v>139.52052403467903</v>
      </c>
      <c r="P276" s="136">
        <f t="shared" si="189"/>
        <v>127.73729587147164</v>
      </c>
      <c r="Q276" s="136">
        <f t="shared" si="189"/>
        <v>1384.7492835201906</v>
      </c>
      <c r="R276" s="138"/>
      <c r="S276" s="138"/>
      <c r="T276" s="138"/>
      <c r="U276" s="138"/>
      <c r="V276" s="138"/>
      <c r="W276" s="138"/>
      <c r="X276" s="138"/>
      <c r="Y276" s="138"/>
      <c r="Z276" s="138"/>
      <c r="AA276" s="138"/>
      <c r="AB276" s="138"/>
      <c r="AC276" s="138"/>
      <c r="AD276" s="138"/>
      <c r="AE276" s="138"/>
      <c r="AF276" s="138"/>
      <c r="AG276" s="138"/>
      <c r="AH276" s="138"/>
      <c r="AI276" s="138"/>
      <c r="AJ276" s="138"/>
      <c r="AK276" s="138"/>
      <c r="AL276" s="138"/>
      <c r="AM276" s="138"/>
      <c r="AN276" s="138"/>
      <c r="AO276" s="138"/>
    </row>
    <row r="277" spans="1:41" s="65" customFormat="1" ht="12.75" customHeight="1" thickBot="1">
      <c r="A277" s="64"/>
      <c r="C277" s="66" t="s">
        <v>55</v>
      </c>
      <c r="D277" s="79">
        <f>SUM(E276:$Q276)/D274</f>
        <v>3477.89256198347</v>
      </c>
      <c r="E277" s="79">
        <f>SUM(F276:$Q276)/E274</f>
        <v>3720.681818181817</v>
      </c>
      <c r="F277" s="79">
        <f>SUM(G276:$Q276)/F274</f>
        <v>4123.749999999999</v>
      </c>
      <c r="G277" s="95">
        <f>SUM(H276:$Q276)/G274</f>
        <v>4258.124999999999</v>
      </c>
      <c r="H277" s="79">
        <f>SUM(I276:$Q276)/H274</f>
        <v>4343.2874999999985</v>
      </c>
      <c r="I277" s="79">
        <f>SUM(J276:$Q276)/I274</f>
        <v>4430.1532499999985</v>
      </c>
      <c r="J277" s="79">
        <f>SUM(K276:$Q276)/J274</f>
        <v>4518.756314999998</v>
      </c>
      <c r="K277" s="79">
        <f>SUM(L276:$Q276)/K274</f>
        <v>4609.131441299997</v>
      </c>
      <c r="L277" s="79">
        <f>SUM(M276:$Q276)/L274</f>
        <v>4701.314070125998</v>
      </c>
      <c r="M277" s="95">
        <f>SUM(N276:$Q276)/M274</f>
        <v>4795.340351528517</v>
      </c>
      <c r="N277" s="79">
        <f>SUM(O276:$Q276)/N274</f>
        <v>4891.2471585590865</v>
      </c>
      <c r="O277" s="79">
        <f>SUM(P276:$Q276)/O274</f>
        <v>4989.072101730267</v>
      </c>
      <c r="P277" s="79">
        <f>SUM(Q276:$Q276)/P274</f>
        <v>5088.8535437648725</v>
      </c>
      <c r="Q277" s="7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</row>
    <row r="278" spans="1:17" ht="12" customHeight="1">
      <c r="A278" s="16"/>
      <c r="C278" s="89" t="s">
        <v>56</v>
      </c>
      <c r="D278" s="68">
        <f>D277</f>
        <v>3477.89256198347</v>
      </c>
      <c r="E278" s="68">
        <f aca="true" t="shared" si="190" ref="E278:P278">D278*(1+D273)-E275</f>
        <v>3720.681818181817</v>
      </c>
      <c r="F278" s="68">
        <f t="shared" si="190"/>
        <v>4123.749999999999</v>
      </c>
      <c r="G278" s="100">
        <f t="shared" si="190"/>
        <v>4258.124999999999</v>
      </c>
      <c r="H278" s="68">
        <f t="shared" si="190"/>
        <v>4343.2874999999985</v>
      </c>
      <c r="I278" s="68">
        <f t="shared" si="190"/>
        <v>4430.153249999998</v>
      </c>
      <c r="J278" s="68">
        <f t="shared" si="190"/>
        <v>4518.756314999997</v>
      </c>
      <c r="K278" s="68">
        <f t="shared" si="190"/>
        <v>4609.131441299996</v>
      </c>
      <c r="L278" s="68">
        <f t="shared" si="190"/>
        <v>4701.314070125996</v>
      </c>
      <c r="M278" s="100">
        <f t="shared" si="190"/>
        <v>4795.340351528515</v>
      </c>
      <c r="N278" s="68">
        <f t="shared" si="190"/>
        <v>4891.247158559085</v>
      </c>
      <c r="O278" s="68">
        <f t="shared" si="190"/>
        <v>4989.072101730266</v>
      </c>
      <c r="P278" s="68">
        <f t="shared" si="190"/>
        <v>5088.853543764872</v>
      </c>
      <c r="Q278" s="68"/>
    </row>
    <row r="279" spans="1:13" ht="9" customHeight="1">
      <c r="A279" s="16"/>
      <c r="D279" s="41"/>
      <c r="E279" s="5"/>
      <c r="M279" s="31"/>
    </row>
    <row r="280" spans="1:41" s="7" customFormat="1" ht="13.5" customHeight="1">
      <c r="A280" s="16"/>
      <c r="C280" s="7" t="s">
        <v>57</v>
      </c>
      <c r="D280" s="49">
        <f aca="true" t="shared" si="191" ref="D280:P280">(D278*D273+D260*D262-D256*D261*E$30)/(D278+D260)</f>
        <v>0.097589341302453</v>
      </c>
      <c r="E280" s="49">
        <f t="shared" si="191"/>
        <v>0.09770144965391145</v>
      </c>
      <c r="F280" s="49">
        <f t="shared" si="191"/>
        <v>0.0978661924872194</v>
      </c>
      <c r="G280" s="49">
        <f t="shared" si="191"/>
        <v>0.09791598827743404</v>
      </c>
      <c r="H280" s="49">
        <f t="shared" si="191"/>
        <v>0.09791598827743406</v>
      </c>
      <c r="I280" s="49">
        <f t="shared" si="191"/>
        <v>0.09791598827743404</v>
      </c>
      <c r="J280" s="49">
        <f t="shared" si="191"/>
        <v>0.09791598827743404</v>
      </c>
      <c r="K280" s="49">
        <f t="shared" si="191"/>
        <v>0.09791598827743407</v>
      </c>
      <c r="L280" s="49">
        <f t="shared" si="191"/>
        <v>0.09791598827743406</v>
      </c>
      <c r="M280" s="49">
        <f t="shared" si="191"/>
        <v>0.09791598827743407</v>
      </c>
      <c r="N280" s="49">
        <f t="shared" si="191"/>
        <v>0.09791598827743406</v>
      </c>
      <c r="O280" s="49">
        <f t="shared" si="191"/>
        <v>0.09791598827743406</v>
      </c>
      <c r="P280" s="49">
        <f t="shared" si="191"/>
        <v>0.09791598827743403</v>
      </c>
      <c r="Q280" s="49">
        <f>P280</f>
        <v>0.09791598827743403</v>
      </c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</row>
    <row r="281" spans="1:17" ht="13.5" customHeight="1" hidden="1">
      <c r="A281" s="16"/>
      <c r="C281" s="21" t="s">
        <v>58</v>
      </c>
      <c r="D281" s="12">
        <v>1</v>
      </c>
      <c r="E281" s="12">
        <f>1/(1+D280)</f>
        <v>0.9110875646927759</v>
      </c>
      <c r="F281" s="12">
        <f aca="true" t="shared" si="192" ref="F281:Q281">E281/(1+E280)</f>
        <v>0.8299957743337479</v>
      </c>
      <c r="G281" s="98">
        <f t="shared" si="192"/>
        <v>0.7560081365228944</v>
      </c>
      <c r="H281" s="12">
        <f t="shared" si="192"/>
        <v>0.6885846864376454</v>
      </c>
      <c r="I281" s="12">
        <f t="shared" si="192"/>
        <v>0.6271742954740959</v>
      </c>
      <c r="J281" s="12">
        <f t="shared" si="192"/>
        <v>0.5712406979864604</v>
      </c>
      <c r="K281" s="12">
        <f t="shared" si="192"/>
        <v>0.5202954543750689</v>
      </c>
      <c r="L281" s="12">
        <f t="shared" si="192"/>
        <v>0.47389368579228175</v>
      </c>
      <c r="M281" s="98">
        <f t="shared" si="192"/>
        <v>0.4316301892422509</v>
      </c>
      <c r="N281" s="12">
        <f t="shared" si="192"/>
        <v>0.393135899149673</v>
      </c>
      <c r="O281" s="12">
        <f t="shared" si="192"/>
        <v>0.35807466449821923</v>
      </c>
      <c r="P281" s="12">
        <f t="shared" si="192"/>
        <v>0.3261403133950325</v>
      </c>
      <c r="Q281" s="12">
        <f t="shared" si="192"/>
        <v>0.2970539794276314</v>
      </c>
    </row>
    <row r="282" spans="1:17" ht="13.5" customHeight="1" hidden="1">
      <c r="A282" s="45"/>
      <c r="B282" s="42"/>
      <c r="C282" s="42" t="s">
        <v>31</v>
      </c>
      <c r="D282" s="42"/>
      <c r="E282" s="23">
        <f>E$41</f>
        <v>243</v>
      </c>
      <c r="F282" s="23">
        <f aca="true" t="shared" si="193" ref="F282:P282">F$41</f>
        <v>107</v>
      </c>
      <c r="G282" s="23">
        <f t="shared" si="193"/>
        <v>416</v>
      </c>
      <c r="H282" s="23">
        <f t="shared" si="193"/>
        <v>448.6500000000001</v>
      </c>
      <c r="I282" s="23">
        <f t="shared" si="193"/>
        <v>457.6229999999999</v>
      </c>
      <c r="J282" s="23">
        <f t="shared" si="193"/>
        <v>466.7754600000002</v>
      </c>
      <c r="K282" s="23">
        <f t="shared" si="193"/>
        <v>476.1109691999999</v>
      </c>
      <c r="L282" s="23">
        <f t="shared" si="193"/>
        <v>485.63318858399964</v>
      </c>
      <c r="M282" s="23">
        <f t="shared" si="193"/>
        <v>495.3458523556802</v>
      </c>
      <c r="N282" s="23">
        <f t="shared" si="193"/>
        <v>505.2527694027938</v>
      </c>
      <c r="O282" s="23">
        <f t="shared" si="193"/>
        <v>515.35782479085</v>
      </c>
      <c r="P282" s="23">
        <f t="shared" si="193"/>
        <v>525.6649812866659</v>
      </c>
      <c r="Q282" s="1">
        <f>P282*(1+O$5)+P282*(1+O$5)*(1+O$5)/(P280-O$5)</f>
        <v>7555.300525544706</v>
      </c>
    </row>
    <row r="283" spans="1:17" ht="13.5" customHeight="1" hidden="1">
      <c r="A283" s="16"/>
      <c r="C283" s="21" t="s">
        <v>38</v>
      </c>
      <c r="D283" s="1"/>
      <c r="E283" s="1">
        <f aca="true" t="shared" si="194" ref="E283:Q283">E282*E281</f>
        <v>221.39427822034455</v>
      </c>
      <c r="F283" s="1">
        <f t="shared" si="194"/>
        <v>88.80954785371102</v>
      </c>
      <c r="G283" s="29">
        <f t="shared" si="194"/>
        <v>314.4993847935241</v>
      </c>
      <c r="H283" s="1">
        <f t="shared" si="194"/>
        <v>308.93351957024964</v>
      </c>
      <c r="I283" s="1">
        <f t="shared" si="194"/>
        <v>287.0093826177421</v>
      </c>
      <c r="J283" s="1">
        <f t="shared" si="194"/>
        <v>266.6411395733512</v>
      </c>
      <c r="K283" s="1">
        <f t="shared" si="194"/>
        <v>247.71837305286834</v>
      </c>
      <c r="L283" s="1">
        <f t="shared" si="194"/>
        <v>230.13850168112984</v>
      </c>
      <c r="M283" s="29">
        <f t="shared" si="194"/>
        <v>213.80622399264632</v>
      </c>
      <c r="N283" s="1">
        <f t="shared" si="194"/>
        <v>198.63300179702972</v>
      </c>
      <c r="O283" s="1">
        <f t="shared" si="194"/>
        <v>184.5365802085157</v>
      </c>
      <c r="P283" s="1">
        <f t="shared" si="194"/>
        <v>171.44054173762714</v>
      </c>
      <c r="Q283" s="1">
        <f t="shared" si="194"/>
        <v>2244.33208688473</v>
      </c>
    </row>
    <row r="284" spans="1:17" ht="13.5" customHeight="1">
      <c r="A284" s="16"/>
      <c r="B284" s="4" t="s">
        <v>59</v>
      </c>
      <c r="C284" s="42" t="s">
        <v>60</v>
      </c>
      <c r="D284" s="18">
        <f>SUM(E283:$Q283)/D281</f>
        <v>4977.89256198347</v>
      </c>
      <c r="E284" s="18">
        <f>SUM(F283:$Q283)/E281</f>
        <v>5220.681818181817</v>
      </c>
      <c r="F284" s="18">
        <f>SUM(G283:$Q283)/F281</f>
        <v>5623.749999999999</v>
      </c>
      <c r="G284" s="91">
        <f>SUM(H283:$Q283)/G281</f>
        <v>5758.124999999998</v>
      </c>
      <c r="H284" s="18">
        <f>SUM(I283:$Q283)/H281</f>
        <v>5873.287499999998</v>
      </c>
      <c r="I284" s="18">
        <f>SUM(J283:$Q283)/I281</f>
        <v>5990.753249999997</v>
      </c>
      <c r="J284" s="18">
        <f>SUM(K283:$Q283)/J281</f>
        <v>6110.568314999996</v>
      </c>
      <c r="K284" s="18">
        <f>SUM(L283:$Q283)/K281</f>
        <v>6232.779681299996</v>
      </c>
      <c r="L284" s="18">
        <f>SUM(M283:$Q283)/L281</f>
        <v>6357.435274925997</v>
      </c>
      <c r="M284" s="91">
        <f>SUM(N283:$Q283)/M281</f>
        <v>6484.583980424516</v>
      </c>
      <c r="N284" s="18">
        <f>SUM(O283:$Q283)/N281</f>
        <v>6614.275660033006</v>
      </c>
      <c r="O284" s="18">
        <f>SUM(P283:$Q283)/O281</f>
        <v>6746.561173233665</v>
      </c>
      <c r="P284" s="18">
        <f>SUM(Q283:$Q283)/P281</f>
        <v>6881.49239669834</v>
      </c>
      <c r="Q284" s="18"/>
    </row>
    <row r="285" spans="1:41" s="65" customFormat="1" ht="12.75" customHeight="1" thickBot="1">
      <c r="A285" s="64"/>
      <c r="B285" s="65" t="s">
        <v>48</v>
      </c>
      <c r="C285" s="77" t="s">
        <v>61</v>
      </c>
      <c r="D285" s="79">
        <f aca="true" t="shared" si="195" ref="D285:P285">D284-D260</f>
        <v>3477.8925619834718</v>
      </c>
      <c r="E285" s="79">
        <f t="shared" si="195"/>
        <v>3720.681818181819</v>
      </c>
      <c r="F285" s="79">
        <f t="shared" si="195"/>
        <v>4123.750000000001</v>
      </c>
      <c r="G285" s="95">
        <f t="shared" si="195"/>
        <v>4258.125</v>
      </c>
      <c r="H285" s="79">
        <f t="shared" si="195"/>
        <v>4343.287499999999</v>
      </c>
      <c r="I285" s="79">
        <f t="shared" si="195"/>
        <v>4430.1532499999985</v>
      </c>
      <c r="J285" s="79">
        <f t="shared" si="195"/>
        <v>4518.756314999998</v>
      </c>
      <c r="K285" s="79">
        <f t="shared" si="195"/>
        <v>4609.131441299998</v>
      </c>
      <c r="L285" s="79">
        <f t="shared" si="195"/>
        <v>4701.314070125999</v>
      </c>
      <c r="M285" s="95">
        <f t="shared" si="195"/>
        <v>4795.340351528517</v>
      </c>
      <c r="N285" s="79">
        <f t="shared" si="195"/>
        <v>4891.247158559087</v>
      </c>
      <c r="O285" s="79">
        <f t="shared" si="195"/>
        <v>4989.072101730268</v>
      </c>
      <c r="P285" s="79">
        <f t="shared" si="195"/>
        <v>5088.853543764875</v>
      </c>
      <c r="Q285" s="108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</row>
    <row r="286" spans="1:17" ht="12.75" customHeight="1">
      <c r="A286" s="16"/>
      <c r="C286" s="72" t="s">
        <v>62</v>
      </c>
      <c r="D286" s="70">
        <f>D284</f>
        <v>4977.89256198347</v>
      </c>
      <c r="E286" s="70">
        <f aca="true" t="shared" si="196" ref="E286:P286">D286*(1+D280)-E239</f>
        <v>1489.6115702479337</v>
      </c>
      <c r="F286" s="70">
        <f t="shared" si="196"/>
        <v>-2746.328492644876</v>
      </c>
      <c r="G286" s="29">
        <f t="shared" si="196"/>
        <v>-7535.726205539193</v>
      </c>
      <c r="H286" s="70">
        <f t="shared" si="196"/>
        <v>-12884.63178434272</v>
      </c>
      <c r="I286" s="70">
        <f t="shared" si="196"/>
        <v>-18849.501489097474</v>
      </c>
      <c r="J286" s="70">
        <f t="shared" si="196"/>
        <v>-25492.492470939418</v>
      </c>
      <c r="K286" s="70">
        <f t="shared" si="196"/>
        <v>-32881.884948186496</v>
      </c>
      <c r="L286" s="70">
        <f t="shared" si="196"/>
        <v>-41092.682490279054</v>
      </c>
      <c r="M286" s="29">
        <f t="shared" si="196"/>
        <v>-50207.271093870855</v>
      </c>
      <c r="N286" s="70">
        <f t="shared" si="196"/>
        <v>-60316.14280805729</v>
      </c>
      <c r="O286" s="70">
        <f t="shared" si="196"/>
        <v>-71518.69022943442</v>
      </c>
      <c r="P286" s="70">
        <f t="shared" si="196"/>
        <v>-83924.07880658538</v>
      </c>
      <c r="Q286" s="88"/>
    </row>
    <row r="287" spans="1:17" ht="6.75" customHeight="1">
      <c r="A287" s="16"/>
      <c r="C287" s="6"/>
      <c r="D287" s="6"/>
      <c r="E287" s="44"/>
      <c r="F287" s="44"/>
      <c r="G287" s="30"/>
      <c r="H287" s="44"/>
      <c r="I287" s="44"/>
      <c r="J287" s="44"/>
      <c r="K287" s="44"/>
      <c r="L287" s="44"/>
      <c r="M287" s="30"/>
      <c r="N287" s="44"/>
      <c r="O287" s="44"/>
      <c r="P287" s="44"/>
      <c r="Q287" s="44"/>
    </row>
    <row r="288" spans="1:41" s="7" customFormat="1" ht="13.5" customHeight="1">
      <c r="A288" s="16"/>
      <c r="C288" s="7" t="s">
        <v>63</v>
      </c>
      <c r="D288" s="49">
        <f aca="true" t="shared" si="197" ref="D288:P288">(D260*D262+D269*D273)/(D260+D269)</f>
        <v>0.10602664674386751</v>
      </c>
      <c r="E288" s="49">
        <f t="shared" si="197"/>
        <v>0.10574637586522136</v>
      </c>
      <c r="F288" s="49">
        <f t="shared" si="197"/>
        <v>0.10533451878195156</v>
      </c>
      <c r="G288" s="132">
        <f t="shared" si="197"/>
        <v>0.10521002930641485</v>
      </c>
      <c r="H288" s="49">
        <f t="shared" si="197"/>
        <v>0.10521002930641486</v>
      </c>
      <c r="I288" s="49">
        <f t="shared" si="197"/>
        <v>0.10521002930641485</v>
      </c>
      <c r="J288" s="49">
        <f t="shared" si="197"/>
        <v>0.10521002930641485</v>
      </c>
      <c r="K288" s="49">
        <f t="shared" si="197"/>
        <v>0.10521002930641485</v>
      </c>
      <c r="L288" s="49">
        <f t="shared" si="197"/>
        <v>0.10521002930641483</v>
      </c>
      <c r="M288" s="132">
        <f t="shared" si="197"/>
        <v>0.10521002930641485</v>
      </c>
      <c r="N288" s="49">
        <f t="shared" si="197"/>
        <v>0.10521002930641485</v>
      </c>
      <c r="O288" s="49">
        <f t="shared" si="197"/>
        <v>0.10521002930641485</v>
      </c>
      <c r="P288" s="49">
        <f t="shared" si="197"/>
        <v>0.10521002930641483</v>
      </c>
      <c r="Q288" s="49">
        <f>P288</f>
        <v>0.10521002930641483</v>
      </c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</row>
    <row r="289" spans="1:17" ht="13.5" customHeight="1" hidden="1">
      <c r="A289" s="16"/>
      <c r="C289" s="21" t="s">
        <v>64</v>
      </c>
      <c r="D289" s="12">
        <v>1</v>
      </c>
      <c r="E289" s="12">
        <f>1/(1+D288)</f>
        <v>0.9041373487193921</v>
      </c>
      <c r="F289" s="12">
        <f aca="true" t="shared" si="198" ref="F289:Q289">E289/(1+E288)</f>
        <v>0.8176715460739586</v>
      </c>
      <c r="G289" s="98">
        <f t="shared" si="198"/>
        <v>0.7397503038039654</v>
      </c>
      <c r="H289" s="12">
        <f t="shared" si="198"/>
        <v>0.6693300677593406</v>
      </c>
      <c r="I289" s="12">
        <f t="shared" si="198"/>
        <v>0.6056134580857767</v>
      </c>
      <c r="J289" s="12">
        <f t="shared" si="198"/>
        <v>0.5479623257362541</v>
      </c>
      <c r="K289" s="12">
        <f t="shared" si="198"/>
        <v>0.49579927000855495</v>
      </c>
      <c r="L289" s="12">
        <f t="shared" si="198"/>
        <v>0.4486018556307334</v>
      </c>
      <c r="M289" s="98">
        <f t="shared" si="198"/>
        <v>0.4058973803488354</v>
      </c>
      <c r="N289" s="12">
        <f t="shared" si="198"/>
        <v>0.36725814061202483</v>
      </c>
      <c r="O289" s="12">
        <f t="shared" si="198"/>
        <v>0.3322971479389317</v>
      </c>
      <c r="P289" s="12">
        <f t="shared" si="198"/>
        <v>0.30066425306280287</v>
      </c>
      <c r="Q289" s="12">
        <f t="shared" si="198"/>
        <v>0.2720426390371137</v>
      </c>
    </row>
    <row r="290" spans="1:17" ht="13.5" customHeight="1" hidden="1">
      <c r="A290" s="45"/>
      <c r="B290" s="42"/>
      <c r="C290" s="42" t="s">
        <v>33</v>
      </c>
      <c r="D290" s="42"/>
      <c r="E290" s="23">
        <f>E$43</f>
        <v>285</v>
      </c>
      <c r="F290" s="23">
        <f aca="true" t="shared" si="199" ref="F290:P290">F$43</f>
        <v>149</v>
      </c>
      <c r="G290" s="23">
        <f t="shared" si="199"/>
        <v>458</v>
      </c>
      <c r="H290" s="23">
        <f t="shared" si="199"/>
        <v>490.6500000000001</v>
      </c>
      <c r="I290" s="23">
        <f t="shared" si="199"/>
        <v>500.46299999999985</v>
      </c>
      <c r="J290" s="23">
        <f t="shared" si="199"/>
        <v>510.4722600000002</v>
      </c>
      <c r="K290" s="23">
        <f t="shared" si="199"/>
        <v>520.6817051999999</v>
      </c>
      <c r="L290" s="23">
        <f t="shared" si="199"/>
        <v>531.0953393039996</v>
      </c>
      <c r="M290" s="23">
        <f t="shared" si="199"/>
        <v>541.7172460900803</v>
      </c>
      <c r="N290" s="23">
        <f t="shared" si="199"/>
        <v>552.5515910118818</v>
      </c>
      <c r="O290" s="23">
        <f t="shared" si="199"/>
        <v>563.6026228321198</v>
      </c>
      <c r="P290" s="23">
        <f t="shared" si="199"/>
        <v>574.8746752887611</v>
      </c>
      <c r="Q290" s="1">
        <f>P290*(1+O$5)+P290*(1+O$5)*(1+O$5)/(P288-O$5)</f>
        <v>7605.494413426842</v>
      </c>
    </row>
    <row r="291" spans="1:17" ht="13.5" customHeight="1" hidden="1">
      <c r="A291" s="16"/>
      <c r="C291" s="21" t="s">
        <v>65</v>
      </c>
      <c r="D291" s="1"/>
      <c r="E291" s="1">
        <f aca="true" t="shared" si="200" ref="E291:Q291">E290*E289</f>
        <v>257.67914438502675</v>
      </c>
      <c r="F291" s="1">
        <f t="shared" si="200"/>
        <v>121.83306036501983</v>
      </c>
      <c r="G291" s="29">
        <f t="shared" si="200"/>
        <v>338.8056391422162</v>
      </c>
      <c r="H291" s="1">
        <f t="shared" si="200"/>
        <v>328.4067977461205</v>
      </c>
      <c r="I291" s="1">
        <f t="shared" si="200"/>
        <v>303.087128073982</v>
      </c>
      <c r="J291" s="1">
        <f t="shared" si="200"/>
        <v>279.71956681344193</v>
      </c>
      <c r="K291" s="1">
        <f t="shared" si="200"/>
        <v>258.15360934496954</v>
      </c>
      <c r="L291" s="1">
        <f t="shared" si="200"/>
        <v>238.2503547286082</v>
      </c>
      <c r="M291" s="29">
        <f t="shared" si="200"/>
        <v>219.88161107774897</v>
      </c>
      <c r="N291" s="1">
        <f t="shared" si="200"/>
        <v>202.92906990723972</v>
      </c>
      <c r="O291" s="1">
        <f t="shared" si="200"/>
        <v>187.28354413801483</v>
      </c>
      <c r="P291" s="1">
        <f t="shared" si="200"/>
        <v>172.8442648504167</v>
      </c>
      <c r="Q291" s="1">
        <f t="shared" si="200"/>
        <v>2069.018771410663</v>
      </c>
    </row>
    <row r="292" spans="1:17" ht="13.5" customHeight="1">
      <c r="A292" s="16"/>
      <c r="B292" s="4" t="s">
        <v>59</v>
      </c>
      <c r="C292" s="42" t="s">
        <v>66</v>
      </c>
      <c r="D292" s="18">
        <f>SUM(E291:$Q291)/D289</f>
        <v>4977.892561983468</v>
      </c>
      <c r="E292" s="18">
        <f>SUM(F291:$Q291)/E289</f>
        <v>5220.681818181814</v>
      </c>
      <c r="F292" s="18">
        <f>SUM(G291:$Q291)/F289</f>
        <v>5623.749999999996</v>
      </c>
      <c r="G292" s="91">
        <f>SUM(H291:$Q291)/G289</f>
        <v>5758.124999999996</v>
      </c>
      <c r="H292" s="18">
        <f>SUM(I291:$Q291)/H289</f>
        <v>5873.287499999995</v>
      </c>
      <c r="I292" s="18">
        <f>SUM(J291:$Q291)/I289</f>
        <v>5990.753249999995</v>
      </c>
      <c r="J292" s="18">
        <f>SUM(K291:$Q291)/J289</f>
        <v>6110.568314999995</v>
      </c>
      <c r="K292" s="18">
        <f>SUM(L291:$Q291)/K289</f>
        <v>6232.779681299995</v>
      </c>
      <c r="L292" s="18">
        <f>SUM(M291:$Q291)/L289</f>
        <v>6357.435274925994</v>
      </c>
      <c r="M292" s="91">
        <f>SUM(N291:$Q291)/M289</f>
        <v>6484.583980424514</v>
      </c>
      <c r="N292" s="18">
        <f>SUM(O291:$Q291)/N289</f>
        <v>6614.275660033003</v>
      </c>
      <c r="O292" s="18">
        <f>SUM(P291:$Q291)/O289</f>
        <v>6746.561173233663</v>
      </c>
      <c r="P292" s="18">
        <f>SUM(Q291:$Q291)/P289</f>
        <v>6881.492396698338</v>
      </c>
      <c r="Q292" s="18"/>
    </row>
    <row r="293" spans="1:41" s="65" customFormat="1" ht="12.75" customHeight="1" thickBot="1">
      <c r="A293" s="64"/>
      <c r="B293" s="65" t="s">
        <v>48</v>
      </c>
      <c r="C293" s="77" t="s">
        <v>67</v>
      </c>
      <c r="D293" s="79">
        <f aca="true" t="shared" si="201" ref="D293:P293">D292-D260</f>
        <v>3477.89256198347</v>
      </c>
      <c r="E293" s="79">
        <f t="shared" si="201"/>
        <v>3720.681818181816</v>
      </c>
      <c r="F293" s="79">
        <f t="shared" si="201"/>
        <v>4123.749999999998</v>
      </c>
      <c r="G293" s="95">
        <f t="shared" si="201"/>
        <v>4258.124999999998</v>
      </c>
      <c r="H293" s="79">
        <f t="shared" si="201"/>
        <v>4343.287499999997</v>
      </c>
      <c r="I293" s="79">
        <f t="shared" si="201"/>
        <v>4430.153249999997</v>
      </c>
      <c r="J293" s="79">
        <f t="shared" si="201"/>
        <v>4518.756314999997</v>
      </c>
      <c r="K293" s="79">
        <f t="shared" si="201"/>
        <v>4609.131441299996</v>
      </c>
      <c r="L293" s="79">
        <f t="shared" si="201"/>
        <v>4701.314070125996</v>
      </c>
      <c r="M293" s="95">
        <f t="shared" si="201"/>
        <v>4795.340351528515</v>
      </c>
      <c r="N293" s="79">
        <f t="shared" si="201"/>
        <v>4891.247158559085</v>
      </c>
      <c r="O293" s="79">
        <f t="shared" si="201"/>
        <v>4989.072101730266</v>
      </c>
      <c r="P293" s="79">
        <f t="shared" si="201"/>
        <v>5088.853543764873</v>
      </c>
      <c r="Q293" s="108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</row>
    <row r="294" spans="1:17" ht="7.5" customHeight="1">
      <c r="A294" s="16"/>
      <c r="D294" s="40"/>
      <c r="E294" s="40"/>
      <c r="F294" s="40"/>
      <c r="G294" s="33"/>
      <c r="H294" s="40"/>
      <c r="I294" s="40"/>
      <c r="J294" s="22"/>
      <c r="K294" s="22"/>
      <c r="L294" s="22"/>
      <c r="M294" s="26"/>
      <c r="N294" s="22"/>
      <c r="O294" s="22"/>
      <c r="P294" s="22"/>
      <c r="Q294" s="22"/>
    </row>
    <row r="295" spans="1:17" ht="12.75" customHeight="1">
      <c r="A295" s="16"/>
      <c r="C295" s="73" t="s">
        <v>68</v>
      </c>
      <c r="D295" s="70"/>
      <c r="E295" s="70">
        <f aca="true" t="shared" si="202" ref="E295:P295">E$29-D$14*D273</f>
        <v>136.37408661557654</v>
      </c>
      <c r="F295" s="70">
        <f t="shared" si="202"/>
        <v>302.4531794026022</v>
      </c>
      <c r="G295" s="70">
        <f t="shared" si="202"/>
        <v>303.9143679903001</v>
      </c>
      <c r="H295" s="70">
        <f t="shared" si="202"/>
        <v>313.1456406869222</v>
      </c>
      <c r="I295" s="70">
        <f t="shared" si="202"/>
        <v>319.4085535006607</v>
      </c>
      <c r="J295" s="70">
        <f t="shared" si="202"/>
        <v>325.79672457067386</v>
      </c>
      <c r="K295" s="70">
        <f t="shared" si="202"/>
        <v>332.31265906208716</v>
      </c>
      <c r="L295" s="70">
        <f t="shared" si="202"/>
        <v>338.95891224332905</v>
      </c>
      <c r="M295" s="70">
        <f t="shared" si="202"/>
        <v>345.73809048819555</v>
      </c>
      <c r="N295" s="70">
        <f t="shared" si="202"/>
        <v>352.65285229795956</v>
      </c>
      <c r="O295" s="70">
        <f t="shared" si="202"/>
        <v>359.7059093439186</v>
      </c>
      <c r="P295" s="70">
        <f t="shared" si="202"/>
        <v>366.90002753079716</v>
      </c>
      <c r="Q295" s="1">
        <f>P295*(1+O$5)+P295*(1+O$5)*(1+O$5)/(P273-O$5)</f>
        <v>4431.203832126466</v>
      </c>
    </row>
    <row r="296" spans="1:41" s="42" customFormat="1" ht="12.75" customHeight="1">
      <c r="A296" s="45"/>
      <c r="C296" s="39" t="s">
        <v>69</v>
      </c>
      <c r="D296" s="18"/>
      <c r="E296" s="18">
        <f aca="true" t="shared" si="203" ref="E296:P296">E$29+E$25*(1-$F$1)-(D$13+D$14)*D280</f>
        <v>77.82131739509398</v>
      </c>
      <c r="F296" s="18">
        <f t="shared" si="203"/>
        <v>243.66605720255976</v>
      </c>
      <c r="G296" s="18">
        <f t="shared" si="203"/>
        <v>249.54645476772612</v>
      </c>
      <c r="H296" s="18">
        <f t="shared" si="203"/>
        <v>259.3141484858354</v>
      </c>
      <c r="I296" s="18">
        <f t="shared" si="203"/>
        <v>264.50043145555213</v>
      </c>
      <c r="J296" s="18">
        <f t="shared" si="203"/>
        <v>269.79044008466315</v>
      </c>
      <c r="K296" s="18">
        <f t="shared" si="203"/>
        <v>275.1862488863563</v>
      </c>
      <c r="L296" s="18">
        <f t="shared" si="203"/>
        <v>280.68997386408347</v>
      </c>
      <c r="M296" s="18">
        <f t="shared" si="203"/>
        <v>286.30377334136506</v>
      </c>
      <c r="N296" s="18">
        <f t="shared" si="203"/>
        <v>292.0298488081924</v>
      </c>
      <c r="O296" s="18">
        <f t="shared" si="203"/>
        <v>297.8704457843562</v>
      </c>
      <c r="P296" s="18">
        <f t="shared" si="203"/>
        <v>303.8278547000435</v>
      </c>
      <c r="Q296" s="36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</row>
    <row r="297" spans="1:17" ht="12.75" customHeight="1">
      <c r="A297" s="16"/>
      <c r="C297" s="56"/>
      <c r="D297" s="70"/>
      <c r="E297" s="70"/>
      <c r="F297" s="70"/>
      <c r="G297" s="29"/>
      <c r="H297" s="70"/>
      <c r="I297" s="70"/>
      <c r="J297" s="70"/>
      <c r="K297" s="70"/>
      <c r="L297" s="70"/>
      <c r="M297" s="29"/>
      <c r="N297" s="70"/>
      <c r="O297" s="70"/>
      <c r="P297" s="70"/>
      <c r="Q297" s="71"/>
    </row>
    <row r="298" spans="1:17" ht="12.75" customHeight="1" hidden="1">
      <c r="A298" s="16"/>
      <c r="C298" s="21" t="s">
        <v>53</v>
      </c>
      <c r="D298" s="70"/>
      <c r="E298" s="70">
        <f aca="true" t="shared" si="204" ref="E298:P298">E274</f>
        <v>0.8950533586434621</v>
      </c>
      <c r="F298" s="70">
        <f t="shared" si="204"/>
        <v>0.8019285432080668</v>
      </c>
      <c r="G298" s="29">
        <f t="shared" si="204"/>
        <v>0.7195088971806175</v>
      </c>
      <c r="H298" s="70">
        <f t="shared" si="204"/>
        <v>0.6458261355271263</v>
      </c>
      <c r="I298" s="70">
        <f t="shared" si="204"/>
        <v>0.579689005882022</v>
      </c>
      <c r="J298" s="70">
        <f t="shared" si="204"/>
        <v>0.5203247825611921</v>
      </c>
      <c r="K298" s="70">
        <f t="shared" si="204"/>
        <v>0.46703987241471373</v>
      </c>
      <c r="L298" s="70">
        <f t="shared" si="204"/>
        <v>0.41921171109988337</v>
      </c>
      <c r="M298" s="29">
        <f t="shared" si="204"/>
        <v>0.3762814892327715</v>
      </c>
      <c r="N298" s="70">
        <f t="shared" si="204"/>
        <v>0.3377476234329173</v>
      </c>
      <c r="O298" s="70">
        <f t="shared" si="204"/>
        <v>0.30315989597887644</v>
      </c>
      <c r="P298" s="70">
        <f t="shared" si="204"/>
        <v>0.2721141946041771</v>
      </c>
      <c r="Q298" s="74">
        <f>P298/(1+$P273)</f>
        <v>0.24424779097509433</v>
      </c>
    </row>
    <row r="299" spans="1:17" ht="12.75" customHeight="1" hidden="1">
      <c r="A299" s="16"/>
      <c r="C299" s="21" t="s">
        <v>70</v>
      </c>
      <c r="D299" s="1"/>
      <c r="E299" s="1">
        <f>E295*E298</f>
        <v>122.06208425720621</v>
      </c>
      <c r="F299" s="1">
        <f aca="true" t="shared" si="205" ref="F299:Q299">F295*F298</f>
        <v>242.54583754697686</v>
      </c>
      <c r="G299" s="29">
        <f t="shared" si="205"/>
        <v>218.66909175004517</v>
      </c>
      <c r="H299" s="1">
        <f t="shared" si="205"/>
        <v>202.23763898200102</v>
      </c>
      <c r="I299" s="1">
        <f t="shared" si="205"/>
        <v>185.15762684901262</v>
      </c>
      <c r="J299" s="1">
        <f t="shared" si="205"/>
        <v>169.52010987138445</v>
      </c>
      <c r="K299" s="1">
        <f t="shared" si="205"/>
        <v>155.20326189015145</v>
      </c>
      <c r="L299" s="1">
        <f t="shared" si="205"/>
        <v>142.0955455940812</v>
      </c>
      <c r="M299" s="29">
        <f t="shared" si="205"/>
        <v>130.09484357339292</v>
      </c>
      <c r="N299" s="1">
        <f t="shared" si="205"/>
        <v>119.10766276047545</v>
      </c>
      <c r="O299" s="1">
        <f t="shared" si="205"/>
        <v>109.04840605968953</v>
      </c>
      <c r="P299" s="1">
        <f t="shared" si="205"/>
        <v>99.83870549179326</v>
      </c>
      <c r="Q299" s="1">
        <f t="shared" si="205"/>
        <v>1082.3117473572622</v>
      </c>
    </row>
    <row r="300" spans="1:17" ht="12.75" customHeight="1">
      <c r="A300" s="16"/>
      <c r="C300" s="42" t="s">
        <v>71</v>
      </c>
      <c r="D300" s="18">
        <f>SUM(E299:$Q299)/D274</f>
        <v>2977.892561983472</v>
      </c>
      <c r="E300" s="18">
        <f>SUM(F299:$Q299)/E274</f>
        <v>3190.68181818182</v>
      </c>
      <c r="F300" s="18">
        <f>SUM(G299:$Q299)/F274</f>
        <v>3258.7500000000023</v>
      </c>
      <c r="G300" s="91">
        <f>SUM(H299:$Q299)/G274</f>
        <v>3328.125000000002</v>
      </c>
      <c r="H300" s="18">
        <f>SUM(I299:$Q299)/H274</f>
        <v>3394.6875000000023</v>
      </c>
      <c r="I300" s="18">
        <f>SUM(J299:$Q299)/I274</f>
        <v>3462.5812500000025</v>
      </c>
      <c r="J300" s="18">
        <f>SUM(K299:$Q299)/J274</f>
        <v>3531.8328750000023</v>
      </c>
      <c r="K300" s="18">
        <f>SUM(L299:$Q299)/K274</f>
        <v>3602.4695325000025</v>
      </c>
      <c r="L300" s="18">
        <f>SUM(M299:$Q299)/L274</f>
        <v>3674.5189231500026</v>
      </c>
      <c r="M300" s="91">
        <f>SUM(N299:$Q299)/M274</f>
        <v>3748.0093016130027</v>
      </c>
      <c r="N300" s="18">
        <f>SUM(O299:$Q299)/N274</f>
        <v>3822.9694876452627</v>
      </c>
      <c r="O300" s="18">
        <f>SUM(P299:$Q299)/O274</f>
        <v>3899.428877398168</v>
      </c>
      <c r="P300" s="18">
        <f>SUM(Q299:$Q299)/P274</f>
        <v>3977.4174549461313</v>
      </c>
      <c r="Q300" s="71"/>
    </row>
    <row r="301" spans="1:41" s="65" customFormat="1" ht="12.75" customHeight="1" thickBot="1">
      <c r="A301" s="64"/>
      <c r="B301" s="65" t="s">
        <v>72</v>
      </c>
      <c r="C301" s="77" t="s">
        <v>73</v>
      </c>
      <c r="D301" s="79">
        <f aca="true" t="shared" si="206" ref="D301:P301">D300+D$14</f>
        <v>3477.892561983472</v>
      </c>
      <c r="E301" s="79">
        <f t="shared" si="206"/>
        <v>3720.68181818182</v>
      </c>
      <c r="F301" s="79">
        <f t="shared" si="206"/>
        <v>4123.750000000002</v>
      </c>
      <c r="G301" s="79">
        <f t="shared" si="206"/>
        <v>4258.125000000002</v>
      </c>
      <c r="H301" s="79">
        <f t="shared" si="206"/>
        <v>4343.287500000002</v>
      </c>
      <c r="I301" s="79">
        <f t="shared" si="206"/>
        <v>4430.153250000003</v>
      </c>
      <c r="J301" s="79">
        <f t="shared" si="206"/>
        <v>4518.756315000002</v>
      </c>
      <c r="K301" s="79">
        <f t="shared" si="206"/>
        <v>4609.131441300003</v>
      </c>
      <c r="L301" s="79">
        <f t="shared" si="206"/>
        <v>4701.314070126004</v>
      </c>
      <c r="M301" s="79">
        <f t="shared" si="206"/>
        <v>4795.340351528523</v>
      </c>
      <c r="N301" s="79">
        <f t="shared" si="206"/>
        <v>4891.247158559094</v>
      </c>
      <c r="O301" s="79">
        <f t="shared" si="206"/>
        <v>4989.072101730275</v>
      </c>
      <c r="P301" s="79">
        <f t="shared" si="206"/>
        <v>5088.853543764881</v>
      </c>
      <c r="Q301" s="90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</row>
    <row r="302" spans="1:17" s="69" customFormat="1" ht="6.75" customHeight="1">
      <c r="A302" s="55"/>
      <c r="C302" s="56"/>
      <c r="D302" s="57"/>
      <c r="E302" s="57"/>
      <c r="F302" s="57"/>
      <c r="G302" s="97"/>
      <c r="H302" s="57"/>
      <c r="I302" s="57"/>
      <c r="J302" s="57"/>
      <c r="K302" s="57"/>
      <c r="L302" s="57"/>
      <c r="M302" s="97"/>
      <c r="N302" s="57"/>
      <c r="O302" s="57"/>
      <c r="P302" s="57"/>
      <c r="Q302" s="71"/>
    </row>
    <row r="303" spans="1:17" s="69" customFormat="1" ht="12" customHeight="1" hidden="1">
      <c r="A303" s="75"/>
      <c r="C303" s="69" t="s">
        <v>69</v>
      </c>
      <c r="D303" s="58"/>
      <c r="E303" s="58">
        <f aca="true" t="shared" si="207" ref="E303:P303">E296</f>
        <v>77.82131739509398</v>
      </c>
      <c r="F303" s="58">
        <f t="shared" si="207"/>
        <v>243.66605720255976</v>
      </c>
      <c r="G303" s="93">
        <f t="shared" si="207"/>
        <v>249.54645476772612</v>
      </c>
      <c r="H303" s="58">
        <f t="shared" si="207"/>
        <v>259.3141484858354</v>
      </c>
      <c r="I303" s="58">
        <f t="shared" si="207"/>
        <v>264.50043145555213</v>
      </c>
      <c r="J303" s="58">
        <f t="shared" si="207"/>
        <v>269.79044008466315</v>
      </c>
      <c r="K303" s="58">
        <f t="shared" si="207"/>
        <v>275.1862488863563</v>
      </c>
      <c r="L303" s="58">
        <f t="shared" si="207"/>
        <v>280.68997386408347</v>
      </c>
      <c r="M303" s="93">
        <f t="shared" si="207"/>
        <v>286.30377334136506</v>
      </c>
      <c r="N303" s="58">
        <f t="shared" si="207"/>
        <v>292.0298488081924</v>
      </c>
      <c r="O303" s="58">
        <f t="shared" si="207"/>
        <v>297.8704457843562</v>
      </c>
      <c r="P303" s="58">
        <f t="shared" si="207"/>
        <v>303.8278547000435</v>
      </c>
      <c r="Q303" s="1">
        <f>P303*(1+O$5)+P303*(1+O$5)*(1+O$5)/(P280-O$5)</f>
        <v>4366.8702158391</v>
      </c>
    </row>
    <row r="304" spans="1:17" ht="12" customHeight="1" hidden="1">
      <c r="A304" s="16"/>
      <c r="C304" s="21" t="s">
        <v>74</v>
      </c>
      <c r="D304" s="1"/>
      <c r="E304" s="1">
        <f>E303*E281</f>
        <v>70.90203454667973</v>
      </c>
      <c r="F304" s="1">
        <f aca="true" t="shared" si="208" ref="F304:Q304">F303*F281</f>
        <v>202.2417978266899</v>
      </c>
      <c r="G304" s="29">
        <f t="shared" si="208"/>
        <v>188.6591502448434</v>
      </c>
      <c r="H304" s="1">
        <f t="shared" si="208"/>
        <v>178.559751623964</v>
      </c>
      <c r="I304" s="1">
        <f t="shared" si="208"/>
        <v>165.88787175073028</v>
      </c>
      <c r="J304" s="1">
        <f t="shared" si="208"/>
        <v>154.1152793040373</v>
      </c>
      <c r="K304" s="1">
        <f t="shared" si="208"/>
        <v>143.17815440209753</v>
      </c>
      <c r="L304" s="1">
        <f t="shared" si="208"/>
        <v>133.01720627938974</v>
      </c>
      <c r="M304" s="29">
        <f t="shared" si="208"/>
        <v>123.5773518681039</v>
      </c>
      <c r="N304" s="1">
        <f t="shared" si="208"/>
        <v>114.80741718975179</v>
      </c>
      <c r="O304" s="1">
        <f t="shared" si="208"/>
        <v>106.65985993816835</v>
      </c>
      <c r="P304" s="1">
        <f t="shared" si="208"/>
        <v>99.09051175001258</v>
      </c>
      <c r="Q304" s="1">
        <f t="shared" si="208"/>
        <v>1297.1961752590041</v>
      </c>
    </row>
    <row r="305" spans="1:17" ht="12" customHeight="1">
      <c r="A305" s="16"/>
      <c r="C305" s="42" t="s">
        <v>75</v>
      </c>
      <c r="D305" s="18">
        <f>SUM(E304:$Q304)/D281</f>
        <v>2977.8925619834727</v>
      </c>
      <c r="E305" s="18">
        <f>SUM(F304:$Q304)/E281</f>
        <v>3190.6818181818203</v>
      </c>
      <c r="F305" s="18">
        <f>SUM(G304:$Q304)/F281</f>
        <v>3258.7500000000023</v>
      </c>
      <c r="G305" s="91">
        <f>SUM(H304:$Q304)/G281</f>
        <v>3328.1250000000023</v>
      </c>
      <c r="H305" s="18">
        <f>SUM(I304:$Q304)/H281</f>
        <v>3394.6875000000023</v>
      </c>
      <c r="I305" s="18">
        <f>SUM(J304:$Q304)/I281</f>
        <v>3462.5812500000015</v>
      </c>
      <c r="J305" s="18">
        <f>SUM(K304:$Q304)/J281</f>
        <v>3531.8328750000014</v>
      </c>
      <c r="K305" s="18">
        <f>SUM(L304:$Q304)/K281</f>
        <v>3602.4695325000025</v>
      </c>
      <c r="L305" s="18">
        <f>SUM(M304:$Q304)/L281</f>
        <v>3674.518923150002</v>
      </c>
      <c r="M305" s="91">
        <f>SUM(N304:$Q304)/M281</f>
        <v>3748.009301613002</v>
      </c>
      <c r="N305" s="18">
        <f>SUM(O304:$Q304)/N281</f>
        <v>3822.9694876452622</v>
      </c>
      <c r="O305" s="18">
        <f>SUM(P304:$Q304)/O281</f>
        <v>3899.4288773981684</v>
      </c>
      <c r="P305" s="18">
        <f>SUM(Q304:$Q304)/P281</f>
        <v>3977.417454946132</v>
      </c>
      <c r="Q305" s="18"/>
    </row>
    <row r="306" spans="1:41" s="65" customFormat="1" ht="12.75" customHeight="1" thickBot="1">
      <c r="A306" s="64"/>
      <c r="B306" s="65" t="s">
        <v>76</v>
      </c>
      <c r="C306" s="77"/>
      <c r="D306" s="112">
        <f aca="true" t="shared" si="209" ref="D306:P306">D305+D$14-(D$62-D$58)</f>
        <v>3477.8925619834745</v>
      </c>
      <c r="E306" s="112">
        <f t="shared" si="209"/>
        <v>3720.681818181822</v>
      </c>
      <c r="F306" s="112">
        <f t="shared" si="209"/>
        <v>4123.750000000004</v>
      </c>
      <c r="G306" s="112">
        <f t="shared" si="209"/>
        <v>4258.125000000004</v>
      </c>
      <c r="H306" s="112">
        <f t="shared" si="209"/>
        <v>4343.287500000004</v>
      </c>
      <c r="I306" s="112">
        <f t="shared" si="209"/>
        <v>4430.153250000003</v>
      </c>
      <c r="J306" s="112">
        <f t="shared" si="209"/>
        <v>4518.756315000003</v>
      </c>
      <c r="K306" s="112">
        <f t="shared" si="209"/>
        <v>4609.131441300005</v>
      </c>
      <c r="L306" s="112">
        <f t="shared" si="209"/>
        <v>4701.3140701260045</v>
      </c>
      <c r="M306" s="112">
        <f t="shared" si="209"/>
        <v>4795.3403515285245</v>
      </c>
      <c r="N306" s="112">
        <f t="shared" si="209"/>
        <v>4891.247158559095</v>
      </c>
      <c r="O306" s="112">
        <f t="shared" si="209"/>
        <v>4989.072101730277</v>
      </c>
      <c r="P306" s="112">
        <f t="shared" si="209"/>
        <v>5088.853543764883</v>
      </c>
      <c r="Q306" s="90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</row>
    <row r="307" spans="1:17" s="69" customFormat="1" ht="12.75" customHeight="1">
      <c r="A307"/>
      <c r="C307" s="56"/>
      <c r="D307" s="57"/>
      <c r="E307" s="57"/>
      <c r="F307" s="57"/>
      <c r="G307" s="97"/>
      <c r="H307" s="57"/>
      <c r="I307" s="57"/>
      <c r="J307" s="57"/>
      <c r="K307" s="57"/>
      <c r="L307" s="57"/>
      <c r="M307" s="97"/>
      <c r="N307" s="57"/>
      <c r="O307" s="57"/>
      <c r="P307" s="57"/>
      <c r="Q307" s="71"/>
    </row>
    <row r="308" spans="1:17" ht="12" customHeight="1">
      <c r="A308" s="45"/>
      <c r="B308" s="42"/>
      <c r="C308" s="39" t="s">
        <v>77</v>
      </c>
      <c r="D308" s="42"/>
      <c r="E308" s="59">
        <f aca="true" t="shared" si="210" ref="E308:Q308">E$40-D269*(D273-D$51)</f>
        <v>105.00000000000011</v>
      </c>
      <c r="F308" s="59">
        <f t="shared" si="210"/>
        <v>-30.99999999999988</v>
      </c>
      <c r="G308" s="59">
        <f t="shared" si="210"/>
        <v>278.00000000000006</v>
      </c>
      <c r="H308" s="59">
        <f t="shared" si="210"/>
        <v>340.6500000000002</v>
      </c>
      <c r="I308" s="59">
        <f t="shared" si="210"/>
        <v>347.4630000000001</v>
      </c>
      <c r="J308" s="59">
        <f t="shared" si="210"/>
        <v>354.41226000000023</v>
      </c>
      <c r="K308" s="59">
        <f t="shared" si="210"/>
        <v>361.50050520000013</v>
      </c>
      <c r="L308" s="59">
        <f t="shared" si="210"/>
        <v>368.7305153039997</v>
      </c>
      <c r="M308" s="59">
        <f t="shared" si="210"/>
        <v>376.1051256100804</v>
      </c>
      <c r="N308" s="59">
        <f t="shared" si="210"/>
        <v>383.62722812228185</v>
      </c>
      <c r="O308" s="59">
        <f t="shared" si="210"/>
        <v>391.299772684728</v>
      </c>
      <c r="P308" s="59">
        <f t="shared" si="210"/>
        <v>399.1257681384214</v>
      </c>
      <c r="Q308" s="59">
        <f t="shared" si="210"/>
        <v>407.1082835011897</v>
      </c>
    </row>
    <row r="309" spans="1:41" s="7" customFormat="1" ht="12" customHeight="1">
      <c r="A309" s="45"/>
      <c r="B309" s="39"/>
      <c r="C309" s="39" t="s">
        <v>78</v>
      </c>
      <c r="D309" s="39"/>
      <c r="E309" s="59">
        <f aca="true" t="shared" si="211" ref="E309:Q309">E$41-D284*(D280-D$51)</f>
        <v>254.99999999999997</v>
      </c>
      <c r="F309" s="59">
        <f t="shared" si="211"/>
        <v>119.00000000000006</v>
      </c>
      <c r="G309" s="59">
        <f t="shared" si="211"/>
        <v>427.99999999999994</v>
      </c>
      <c r="H309" s="59">
        <f t="shared" si="211"/>
        <v>460.6500000000002</v>
      </c>
      <c r="I309" s="59">
        <f t="shared" si="211"/>
        <v>469.86299999999994</v>
      </c>
      <c r="J309" s="59">
        <f t="shared" si="211"/>
        <v>479.2602600000003</v>
      </c>
      <c r="K309" s="59">
        <f t="shared" si="211"/>
        <v>488.84546520000004</v>
      </c>
      <c r="L309" s="59">
        <f t="shared" si="211"/>
        <v>498.6223745039996</v>
      </c>
      <c r="M309" s="59">
        <f t="shared" si="211"/>
        <v>508.5948219940803</v>
      </c>
      <c r="N309" s="59">
        <f t="shared" si="211"/>
        <v>518.7667184339617</v>
      </c>
      <c r="O309" s="59">
        <f t="shared" si="211"/>
        <v>529.1420528026414</v>
      </c>
      <c r="P309" s="59">
        <f t="shared" si="211"/>
        <v>539.7248938586931</v>
      </c>
      <c r="Q309" s="59">
        <f t="shared" si="211"/>
        <v>550.5193917358672</v>
      </c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</row>
    <row r="310" spans="1:41" s="7" customFormat="1" ht="12" customHeight="1">
      <c r="A310" s="55"/>
      <c r="B310" s="56"/>
      <c r="C310" s="56"/>
      <c r="D310" s="92"/>
      <c r="E310" s="61"/>
      <c r="F310" s="61"/>
      <c r="G310" s="62"/>
      <c r="H310" s="61"/>
      <c r="I310" s="61"/>
      <c r="J310" s="61"/>
      <c r="K310" s="61"/>
      <c r="L310" s="61"/>
      <c r="M310" s="62"/>
      <c r="N310" s="61"/>
      <c r="O310" s="61"/>
      <c r="P310" s="61"/>
      <c r="Q310" s="61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</row>
    <row r="311" spans="1:41" s="7" customFormat="1" ht="12" customHeight="1">
      <c r="A311" s="16"/>
      <c r="C311" s="7" t="s">
        <v>36</v>
      </c>
      <c r="D311" s="51">
        <f aca="true" t="shared" si="212" ref="D311:Q311">D$51</f>
        <v>0.1</v>
      </c>
      <c r="E311" s="51">
        <f t="shared" si="212"/>
        <v>0.1</v>
      </c>
      <c r="F311" s="51">
        <f t="shared" si="212"/>
        <v>0.1</v>
      </c>
      <c r="G311" s="51">
        <f t="shared" si="212"/>
        <v>0.1</v>
      </c>
      <c r="H311" s="51">
        <f t="shared" si="212"/>
        <v>0.1</v>
      </c>
      <c r="I311" s="51">
        <f t="shared" si="212"/>
        <v>0.1</v>
      </c>
      <c r="J311" s="51">
        <f t="shared" si="212"/>
        <v>0.1</v>
      </c>
      <c r="K311" s="51">
        <f t="shared" si="212"/>
        <v>0.1</v>
      </c>
      <c r="L311" s="51">
        <f t="shared" si="212"/>
        <v>0.1</v>
      </c>
      <c r="M311" s="51">
        <f t="shared" si="212"/>
        <v>0.1</v>
      </c>
      <c r="N311" s="51">
        <f t="shared" si="212"/>
        <v>0.1</v>
      </c>
      <c r="O311" s="51">
        <f t="shared" si="212"/>
        <v>0.1</v>
      </c>
      <c r="P311" s="51">
        <f t="shared" si="212"/>
        <v>0.1</v>
      </c>
      <c r="Q311" s="51">
        <f t="shared" si="212"/>
        <v>0.1</v>
      </c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</row>
    <row r="312" spans="1:17" ht="12" customHeight="1" hidden="1">
      <c r="A312" s="16"/>
      <c r="C312" s="21" t="s">
        <v>53</v>
      </c>
      <c r="D312" s="12">
        <v>1</v>
      </c>
      <c r="E312" s="12">
        <f>1/(1+D311)</f>
        <v>0.9090909090909091</v>
      </c>
      <c r="F312" s="46">
        <f aca="true" t="shared" si="213" ref="F312:Q312">E312/(1+E311)</f>
        <v>0.8264462809917354</v>
      </c>
      <c r="G312" s="96">
        <f t="shared" si="213"/>
        <v>0.7513148009015777</v>
      </c>
      <c r="H312" s="46">
        <f t="shared" si="213"/>
        <v>0.6830134553650705</v>
      </c>
      <c r="I312" s="46">
        <f t="shared" si="213"/>
        <v>0.6209213230591549</v>
      </c>
      <c r="J312" s="46">
        <f t="shared" si="213"/>
        <v>0.5644739300537771</v>
      </c>
      <c r="K312" s="46">
        <f t="shared" si="213"/>
        <v>0.5131581182307065</v>
      </c>
      <c r="L312" s="46">
        <f t="shared" si="213"/>
        <v>0.4665073802097331</v>
      </c>
      <c r="M312" s="96">
        <f t="shared" si="213"/>
        <v>0.4240976183724846</v>
      </c>
      <c r="N312" s="46">
        <f t="shared" si="213"/>
        <v>0.3855432894295314</v>
      </c>
      <c r="O312" s="46">
        <f t="shared" si="213"/>
        <v>0.35049389948139215</v>
      </c>
      <c r="P312" s="46">
        <f t="shared" si="213"/>
        <v>0.31863081771035645</v>
      </c>
      <c r="Q312" s="46">
        <f t="shared" si="213"/>
        <v>0.2896643797366877</v>
      </c>
    </row>
    <row r="313" spans="1:17" ht="12" customHeight="1" hidden="1">
      <c r="A313" s="16"/>
      <c r="B313" s="42"/>
      <c r="C313" s="42" t="s">
        <v>122</v>
      </c>
      <c r="D313" s="42"/>
      <c r="E313" s="23">
        <f aca="true" t="shared" si="214" ref="E313:P313">E308</f>
        <v>105.00000000000011</v>
      </c>
      <c r="F313" s="23">
        <f t="shared" si="214"/>
        <v>-30.99999999999988</v>
      </c>
      <c r="G313" s="101">
        <f t="shared" si="214"/>
        <v>278.00000000000006</v>
      </c>
      <c r="H313" s="23">
        <f t="shared" si="214"/>
        <v>340.6500000000002</v>
      </c>
      <c r="I313" s="23">
        <f t="shared" si="214"/>
        <v>347.4630000000001</v>
      </c>
      <c r="J313" s="23">
        <f t="shared" si="214"/>
        <v>354.41226000000023</v>
      </c>
      <c r="K313" s="23">
        <f t="shared" si="214"/>
        <v>361.50050520000013</v>
      </c>
      <c r="L313" s="23">
        <f t="shared" si="214"/>
        <v>368.7305153039997</v>
      </c>
      <c r="M313" s="23">
        <f t="shared" si="214"/>
        <v>376.1051256100804</v>
      </c>
      <c r="N313" s="23">
        <f t="shared" si="214"/>
        <v>383.62722812228185</v>
      </c>
      <c r="O313" s="23">
        <f t="shared" si="214"/>
        <v>391.299772684728</v>
      </c>
      <c r="P313" s="23">
        <f t="shared" si="214"/>
        <v>399.1257681384214</v>
      </c>
      <c r="Q313" s="1">
        <f>P313*(1+O$5)+P313*(1+O$5)*(1+O$5)/(P311-O$5)</f>
        <v>5597.738898141361</v>
      </c>
    </row>
    <row r="314" spans="1:17" ht="12" customHeight="1" hidden="1">
      <c r="A314" s="16"/>
      <c r="C314" s="21" t="s">
        <v>54</v>
      </c>
      <c r="D314" s="1"/>
      <c r="E314" s="1">
        <f aca="true" t="shared" si="215" ref="E314:Q314">E313*E312</f>
        <v>95.45454545454555</v>
      </c>
      <c r="F314" s="1">
        <f t="shared" si="215"/>
        <v>-25.6198347107437</v>
      </c>
      <c r="G314" s="29">
        <f t="shared" si="215"/>
        <v>208.86551465063863</v>
      </c>
      <c r="H314" s="1">
        <f t="shared" si="215"/>
        <v>232.6685335701114</v>
      </c>
      <c r="I314" s="1">
        <f t="shared" si="215"/>
        <v>215.7471856741032</v>
      </c>
      <c r="J314" s="1">
        <f t="shared" si="215"/>
        <v>200.0564812614412</v>
      </c>
      <c r="K314" s="1">
        <f t="shared" si="215"/>
        <v>185.5069189878818</v>
      </c>
      <c r="L314" s="1">
        <f t="shared" si="215"/>
        <v>172.0155066978538</v>
      </c>
      <c r="M314" s="29">
        <f t="shared" si="215"/>
        <v>159.50528802891927</v>
      </c>
      <c r="N314" s="1">
        <f t="shared" si="215"/>
        <v>147.90490344499779</v>
      </c>
      <c r="O314" s="1">
        <f t="shared" si="215"/>
        <v>137.14818319445266</v>
      </c>
      <c r="P314" s="1">
        <f t="shared" si="215"/>
        <v>127.17376987121933</v>
      </c>
      <c r="Q314" s="1">
        <f t="shared" si="215"/>
        <v>1621.4655658580468</v>
      </c>
    </row>
    <row r="315" spans="1:17" ht="12" customHeight="1">
      <c r="A315" s="16"/>
      <c r="C315" s="47" t="s">
        <v>79</v>
      </c>
      <c r="D315" s="38">
        <f>SUM(E314:$Q314)/D312</f>
        <v>3477.892561983468</v>
      </c>
      <c r="E315" s="38">
        <f>SUM(F314:$Q314)/E312</f>
        <v>3720.6818181818144</v>
      </c>
      <c r="F315" s="38">
        <f>SUM(G314:$Q314)/F312</f>
        <v>4123.749999999996</v>
      </c>
      <c r="G315" s="27">
        <f>SUM(H314:$Q314)/G312</f>
        <v>4258.124999999995</v>
      </c>
      <c r="H315" s="38">
        <f>SUM(I314:$Q314)/H312</f>
        <v>4343.287499999996</v>
      </c>
      <c r="I315" s="38">
        <f>SUM(J314:$Q314)/I312</f>
        <v>4430.153249999996</v>
      </c>
      <c r="J315" s="38">
        <f>SUM(K314:$Q314)/J312</f>
        <v>4518.756314999996</v>
      </c>
      <c r="K315" s="38">
        <f>SUM(L314:$Q314)/K312</f>
        <v>4609.1314412999955</v>
      </c>
      <c r="L315" s="38">
        <f>SUM(M314:$Q314)/L312</f>
        <v>4701.314070125996</v>
      </c>
      <c r="M315" s="27">
        <f>SUM(N314:$Q314)/M312</f>
        <v>4795.340351528515</v>
      </c>
      <c r="N315" s="38">
        <f>SUM(O314:$Q314)/N312</f>
        <v>4891.247158559086</v>
      </c>
      <c r="O315" s="38">
        <f>SUM(P314:$Q314)/O312</f>
        <v>4989.072101730268</v>
      </c>
      <c r="P315" s="38">
        <f>SUM(Q314:$Q314)/P312</f>
        <v>5088.853543764873</v>
      </c>
      <c r="Q315" s="38"/>
    </row>
    <row r="316" spans="1:16" ht="12.75" customHeight="1">
      <c r="A316" s="16"/>
      <c r="D316" s="41"/>
      <c r="E316" s="41"/>
      <c r="F316" s="41"/>
      <c r="G316" s="146"/>
      <c r="H316" s="41"/>
      <c r="I316" s="41"/>
      <c r="J316" s="41"/>
      <c r="K316" s="41"/>
      <c r="L316" s="41"/>
      <c r="M316" s="31"/>
      <c r="N316" s="41"/>
      <c r="O316" s="41"/>
      <c r="P316" s="41"/>
    </row>
    <row r="317" spans="1:41" s="7" customFormat="1" ht="19.5" customHeight="1" hidden="1">
      <c r="A317" s="16"/>
      <c r="C317" s="7" t="s">
        <v>36</v>
      </c>
      <c r="D317" s="51">
        <f aca="true" t="shared" si="216" ref="D317:Q317">D$51</f>
        <v>0.1</v>
      </c>
      <c r="E317" s="51">
        <f t="shared" si="216"/>
        <v>0.1</v>
      </c>
      <c r="F317" s="51">
        <f t="shared" si="216"/>
        <v>0.1</v>
      </c>
      <c r="G317" s="51">
        <f t="shared" si="216"/>
        <v>0.1</v>
      </c>
      <c r="H317" s="51">
        <f t="shared" si="216"/>
        <v>0.1</v>
      </c>
      <c r="I317" s="51">
        <f t="shared" si="216"/>
        <v>0.1</v>
      </c>
      <c r="J317" s="51">
        <f t="shared" si="216"/>
        <v>0.1</v>
      </c>
      <c r="K317" s="51">
        <f t="shared" si="216"/>
        <v>0.1</v>
      </c>
      <c r="L317" s="51">
        <f t="shared" si="216"/>
        <v>0.1</v>
      </c>
      <c r="M317" s="51">
        <f t="shared" si="216"/>
        <v>0.1</v>
      </c>
      <c r="N317" s="51">
        <f t="shared" si="216"/>
        <v>0.1</v>
      </c>
      <c r="O317" s="51">
        <f t="shared" si="216"/>
        <v>0.1</v>
      </c>
      <c r="P317" s="51">
        <f t="shared" si="216"/>
        <v>0.1</v>
      </c>
      <c r="Q317" s="51">
        <f t="shared" si="216"/>
        <v>0.1</v>
      </c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</row>
    <row r="318" spans="1:17" ht="19.5" customHeight="1" hidden="1">
      <c r="A318" s="16"/>
      <c r="C318" s="21" t="s">
        <v>58</v>
      </c>
      <c r="D318" s="12">
        <v>1</v>
      </c>
      <c r="E318" s="12">
        <f>1/(1+D317)</f>
        <v>0.9090909090909091</v>
      </c>
      <c r="F318" s="12">
        <f aca="true" t="shared" si="217" ref="F318:Q318">E318/(1+E317)</f>
        <v>0.8264462809917354</v>
      </c>
      <c r="G318" s="98">
        <f t="shared" si="217"/>
        <v>0.7513148009015777</v>
      </c>
      <c r="H318" s="12">
        <f t="shared" si="217"/>
        <v>0.6830134553650705</v>
      </c>
      <c r="I318" s="12">
        <f t="shared" si="217"/>
        <v>0.6209213230591549</v>
      </c>
      <c r="J318" s="12">
        <f t="shared" si="217"/>
        <v>0.5644739300537771</v>
      </c>
      <c r="K318" s="12">
        <f t="shared" si="217"/>
        <v>0.5131581182307065</v>
      </c>
      <c r="L318" s="12">
        <f t="shared" si="217"/>
        <v>0.4665073802097331</v>
      </c>
      <c r="M318" s="98">
        <f t="shared" si="217"/>
        <v>0.4240976183724846</v>
      </c>
      <c r="N318" s="12">
        <f t="shared" si="217"/>
        <v>0.3855432894295314</v>
      </c>
      <c r="O318" s="12">
        <f t="shared" si="217"/>
        <v>0.35049389948139215</v>
      </c>
      <c r="P318" s="12">
        <f t="shared" si="217"/>
        <v>0.31863081771035645</v>
      </c>
      <c r="Q318" s="12">
        <f t="shared" si="217"/>
        <v>0.2896643797366877</v>
      </c>
    </row>
    <row r="319" spans="1:17" ht="19.5" customHeight="1" hidden="1">
      <c r="A319" s="45"/>
      <c r="B319" s="42"/>
      <c r="C319" s="42" t="s">
        <v>31</v>
      </c>
      <c r="D319" s="42"/>
      <c r="E319" s="42">
        <f aca="true" t="shared" si="218" ref="E319:P319">E309</f>
        <v>254.99999999999997</v>
      </c>
      <c r="F319" s="42">
        <f t="shared" si="218"/>
        <v>119.00000000000006</v>
      </c>
      <c r="G319" s="99">
        <f t="shared" si="218"/>
        <v>427.99999999999994</v>
      </c>
      <c r="H319" s="42">
        <f t="shared" si="218"/>
        <v>460.6500000000002</v>
      </c>
      <c r="I319" s="42">
        <f t="shared" si="218"/>
        <v>469.86299999999994</v>
      </c>
      <c r="J319" s="42">
        <f t="shared" si="218"/>
        <v>479.2602600000003</v>
      </c>
      <c r="K319" s="42">
        <f t="shared" si="218"/>
        <v>488.84546520000004</v>
      </c>
      <c r="L319" s="42">
        <f t="shared" si="218"/>
        <v>498.6223745039996</v>
      </c>
      <c r="M319" s="99">
        <f t="shared" si="218"/>
        <v>508.5948219940803</v>
      </c>
      <c r="N319" s="42">
        <f t="shared" si="218"/>
        <v>518.7667184339617</v>
      </c>
      <c r="O319" s="42">
        <f t="shared" si="218"/>
        <v>529.1420528026414</v>
      </c>
      <c r="P319" s="42">
        <f t="shared" si="218"/>
        <v>539.7248938586931</v>
      </c>
      <c r="Q319" s="1">
        <f>P319*(1+O$5)+P319*(1+O$5)*(1+O$5)/(P317-O$5)</f>
        <v>7569.641636368171</v>
      </c>
    </row>
    <row r="320" spans="1:17" ht="19.5" customHeight="1" hidden="1">
      <c r="A320" s="16"/>
      <c r="C320" s="21" t="s">
        <v>38</v>
      </c>
      <c r="D320" s="1"/>
      <c r="E320" s="1">
        <f aca="true" t="shared" si="219" ref="E320:Q320">E319*E318</f>
        <v>231.81818181818178</v>
      </c>
      <c r="F320" s="1">
        <f t="shared" si="219"/>
        <v>98.34710743801656</v>
      </c>
      <c r="G320" s="29">
        <f t="shared" si="219"/>
        <v>321.5627347858752</v>
      </c>
      <c r="H320" s="1">
        <f t="shared" si="219"/>
        <v>314.6301482139199</v>
      </c>
      <c r="I320" s="1">
        <f t="shared" si="219"/>
        <v>291.74795561654366</v>
      </c>
      <c r="J320" s="1">
        <f t="shared" si="219"/>
        <v>270.5299224807952</v>
      </c>
      <c r="K320" s="1">
        <f t="shared" si="219"/>
        <v>250.8550190276463</v>
      </c>
      <c r="L320" s="1">
        <f t="shared" si="219"/>
        <v>232.61101764381726</v>
      </c>
      <c r="M320" s="29">
        <f t="shared" si="219"/>
        <v>215.6938527242672</v>
      </c>
      <c r="N320" s="1">
        <f t="shared" si="219"/>
        <v>200.00702707159314</v>
      </c>
      <c r="O320" s="1">
        <f t="shared" si="219"/>
        <v>185.4610614663865</v>
      </c>
      <c r="P320" s="1">
        <f t="shared" si="219"/>
        <v>171.97298426883074</v>
      </c>
      <c r="Q320" s="1">
        <f t="shared" si="219"/>
        <v>2192.6555494275917</v>
      </c>
    </row>
    <row r="321" spans="1:17" ht="19.5" customHeight="1">
      <c r="A321" s="16"/>
      <c r="B321" s="4" t="s">
        <v>80</v>
      </c>
      <c r="C321" s="42" t="s">
        <v>81</v>
      </c>
      <c r="D321" s="18">
        <f>SUM(E320:$Q320)/D318</f>
        <v>4977.892561983465</v>
      </c>
      <c r="E321" s="18">
        <f>SUM(F320:$Q320)/E318</f>
        <v>5220.681818181812</v>
      </c>
      <c r="F321" s="18">
        <f>SUM(G320:$Q320)/F318</f>
        <v>5623.749999999994</v>
      </c>
      <c r="G321" s="91">
        <f>SUM(H320:$Q320)/G318</f>
        <v>5758.124999999993</v>
      </c>
      <c r="H321" s="18">
        <f>SUM(I320:$Q320)/H318</f>
        <v>5873.287499999992</v>
      </c>
      <c r="I321" s="18">
        <f>SUM(J320:$Q320)/I318</f>
        <v>5990.753249999993</v>
      </c>
      <c r="J321" s="18">
        <f>SUM(K320:$Q320)/J318</f>
        <v>6110.568314999993</v>
      </c>
      <c r="K321" s="18">
        <f>SUM(L320:$Q320)/K318</f>
        <v>6232.779681299993</v>
      </c>
      <c r="L321" s="18">
        <f>SUM(M320:$Q320)/L318</f>
        <v>6357.435274925992</v>
      </c>
      <c r="M321" s="91">
        <f>SUM(N320:$Q320)/M318</f>
        <v>6484.583980424513</v>
      </c>
      <c r="N321" s="18">
        <f>SUM(O320:$Q320)/N318</f>
        <v>6614.275660033003</v>
      </c>
      <c r="O321" s="18">
        <f>SUM(P320:$Q320)/O318</f>
        <v>6746.561173233663</v>
      </c>
      <c r="P321" s="18">
        <f>SUM(Q320:$Q320)/P318</f>
        <v>6881.492396698337</v>
      </c>
      <c r="Q321" s="18"/>
    </row>
    <row r="322" spans="1:17" ht="12.75" customHeight="1">
      <c r="A322" s="16"/>
      <c r="B322" s="4" t="s">
        <v>48</v>
      </c>
      <c r="C322" s="39" t="s">
        <v>82</v>
      </c>
      <c r="D322" s="38">
        <f aca="true" t="shared" si="220" ref="D322:P322">D321-D$62</f>
        <v>3477.892561983467</v>
      </c>
      <c r="E322" s="38">
        <f t="shared" si="220"/>
        <v>3720.6818181818135</v>
      </c>
      <c r="F322" s="38">
        <f t="shared" si="220"/>
        <v>4123.749999999995</v>
      </c>
      <c r="G322" s="38">
        <f t="shared" si="220"/>
        <v>4258.1249999999945</v>
      </c>
      <c r="H322" s="38">
        <f t="shared" si="220"/>
        <v>4343.287499999994</v>
      </c>
      <c r="I322" s="38">
        <f t="shared" si="220"/>
        <v>4430.153249999995</v>
      </c>
      <c r="J322" s="38">
        <f t="shared" si="220"/>
        <v>4518.756314999995</v>
      </c>
      <c r="K322" s="38">
        <f t="shared" si="220"/>
        <v>4609.131441299995</v>
      </c>
      <c r="L322" s="38">
        <f t="shared" si="220"/>
        <v>4701.3140701259945</v>
      </c>
      <c r="M322" s="38">
        <f t="shared" si="220"/>
        <v>4795.340351528515</v>
      </c>
      <c r="N322" s="38">
        <f t="shared" si="220"/>
        <v>4891.247158559085</v>
      </c>
      <c r="O322" s="38">
        <f t="shared" si="220"/>
        <v>4989.072101730266</v>
      </c>
      <c r="P322" s="38">
        <f t="shared" si="220"/>
        <v>5088.853543764872</v>
      </c>
      <c r="Q322" s="20"/>
    </row>
    <row r="323" spans="1:17" ht="12.75" customHeight="1">
      <c r="A323" s="16"/>
      <c r="C323" s="56"/>
      <c r="D323" s="57"/>
      <c r="E323" s="57"/>
      <c r="F323" s="116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88"/>
    </row>
    <row r="324" spans="1:41" s="7" customFormat="1" ht="12" customHeight="1">
      <c r="A324" s="45"/>
      <c r="B324" s="39"/>
      <c r="C324" s="39" t="s">
        <v>87</v>
      </c>
      <c r="D324" s="39"/>
      <c r="E324" s="59">
        <f aca="true" t="shared" si="221" ref="E324:Q324">E$41-D321*(D280-D$49)</f>
        <v>55.884297520661306</v>
      </c>
      <c r="F324" s="59">
        <f t="shared" si="221"/>
        <v>-89.82727272727246</v>
      </c>
      <c r="G324" s="59">
        <f t="shared" si="221"/>
        <v>203.05000000000015</v>
      </c>
      <c r="H324" s="59">
        <f t="shared" si="221"/>
        <v>230.32500000000044</v>
      </c>
      <c r="I324" s="59">
        <f t="shared" si="221"/>
        <v>234.93150000000017</v>
      </c>
      <c r="J324" s="59">
        <f t="shared" si="221"/>
        <v>239.63013000000052</v>
      </c>
      <c r="K324" s="59">
        <f t="shared" si="221"/>
        <v>244.42273260000024</v>
      </c>
      <c r="L324" s="59">
        <f t="shared" si="221"/>
        <v>249.31118725199983</v>
      </c>
      <c r="M324" s="59">
        <f t="shared" si="221"/>
        <v>254.29741099704052</v>
      </c>
      <c r="N324" s="59">
        <f t="shared" si="221"/>
        <v>259.38335921698115</v>
      </c>
      <c r="O324" s="59">
        <f t="shared" si="221"/>
        <v>264.57102640132126</v>
      </c>
      <c r="P324" s="59">
        <f t="shared" si="221"/>
        <v>269.86244692934656</v>
      </c>
      <c r="Q324" s="59">
        <f t="shared" si="221"/>
        <v>275.2596958679337</v>
      </c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</row>
    <row r="325" spans="1:17" ht="12" customHeight="1">
      <c r="A325" s="45"/>
      <c r="B325" s="42"/>
      <c r="C325" s="39" t="s">
        <v>86</v>
      </c>
      <c r="D325" s="42"/>
      <c r="E325" s="59">
        <f aca="true" t="shared" si="222" ref="E325:Q325">E$40-D322*(D273-D$49)</f>
        <v>-34.11570247933864</v>
      </c>
      <c r="F325" s="59">
        <f t="shared" si="222"/>
        <v>-179.82727272727246</v>
      </c>
      <c r="G325" s="59">
        <f t="shared" si="222"/>
        <v>113.05000000000021</v>
      </c>
      <c r="H325" s="59">
        <f t="shared" si="222"/>
        <v>170.32500000000041</v>
      </c>
      <c r="I325" s="59">
        <f t="shared" si="222"/>
        <v>173.73150000000032</v>
      </c>
      <c r="J325" s="59">
        <f t="shared" si="222"/>
        <v>177.2061300000004</v>
      </c>
      <c r="K325" s="59">
        <f t="shared" si="222"/>
        <v>180.75025260000027</v>
      </c>
      <c r="L325" s="59">
        <f t="shared" si="222"/>
        <v>184.36525765199985</v>
      </c>
      <c r="M325" s="59">
        <f t="shared" si="222"/>
        <v>188.05256280504057</v>
      </c>
      <c r="N325" s="59">
        <f t="shared" si="222"/>
        <v>191.81361406114115</v>
      </c>
      <c r="O325" s="59">
        <f t="shared" si="222"/>
        <v>195.6498863423646</v>
      </c>
      <c r="P325" s="59">
        <f t="shared" si="222"/>
        <v>199.56288406921072</v>
      </c>
      <c r="Q325" s="59">
        <f t="shared" si="222"/>
        <v>203.5541417505948</v>
      </c>
    </row>
    <row r="326" spans="1:16" ht="14.25" customHeight="1">
      <c r="A326" s="16"/>
      <c r="B326" s="104"/>
      <c r="C326" s="92"/>
      <c r="D326" s="105"/>
      <c r="E326" s="105"/>
      <c r="F326" s="105"/>
      <c r="G326" s="50"/>
      <c r="H326" s="105"/>
      <c r="I326" s="105"/>
      <c r="J326" s="43"/>
      <c r="K326" s="43"/>
      <c r="L326" s="43"/>
      <c r="M326" s="102"/>
      <c r="N326" s="43"/>
      <c r="O326" s="43"/>
      <c r="P326" s="43"/>
    </row>
    <row r="327" spans="1:17" ht="14.25" customHeight="1" hidden="1">
      <c r="A327" s="16"/>
      <c r="B327" s="104"/>
      <c r="C327" s="4" t="s">
        <v>2</v>
      </c>
      <c r="D327" s="105">
        <f aca="true" t="shared" si="223" ref="D327:P327">D$49</f>
        <v>0.06</v>
      </c>
      <c r="E327" s="105">
        <f t="shared" si="223"/>
        <v>0.06</v>
      </c>
      <c r="F327" s="105">
        <f t="shared" si="223"/>
        <v>0.06</v>
      </c>
      <c r="G327" s="105">
        <f t="shared" si="223"/>
        <v>0.06</v>
      </c>
      <c r="H327" s="105">
        <f t="shared" si="223"/>
        <v>0.06</v>
      </c>
      <c r="I327" s="105">
        <f t="shared" si="223"/>
        <v>0.06</v>
      </c>
      <c r="J327" s="105">
        <f t="shared" si="223"/>
        <v>0.06</v>
      </c>
      <c r="K327" s="105">
        <f t="shared" si="223"/>
        <v>0.06</v>
      </c>
      <c r="L327" s="105">
        <f t="shared" si="223"/>
        <v>0.06</v>
      </c>
      <c r="M327" s="105">
        <f t="shared" si="223"/>
        <v>0.06</v>
      </c>
      <c r="N327" s="105">
        <f t="shared" si="223"/>
        <v>0.06</v>
      </c>
      <c r="O327" s="105">
        <f t="shared" si="223"/>
        <v>0.06</v>
      </c>
      <c r="P327" s="105">
        <f t="shared" si="223"/>
        <v>0.06</v>
      </c>
      <c r="Q327" s="49">
        <f>P327</f>
        <v>0.06</v>
      </c>
    </row>
    <row r="328" spans="1:17" ht="14.25" customHeight="1" hidden="1">
      <c r="A328" s="16"/>
      <c r="C328" s="158" t="s">
        <v>91</v>
      </c>
      <c r="D328" s="12">
        <v>1</v>
      </c>
      <c r="E328" s="12">
        <f>1/(1+D327)</f>
        <v>0.9433962264150942</v>
      </c>
      <c r="F328" s="12">
        <f aca="true" t="shared" si="224" ref="F328:Q328">E328/(1+E327)</f>
        <v>0.8899964400142398</v>
      </c>
      <c r="G328" s="98">
        <f t="shared" si="224"/>
        <v>0.8396192830323017</v>
      </c>
      <c r="H328" s="12">
        <f t="shared" si="224"/>
        <v>0.7920936632380204</v>
      </c>
      <c r="I328" s="12">
        <f t="shared" si="224"/>
        <v>0.747258172866057</v>
      </c>
      <c r="J328" s="12">
        <f t="shared" si="224"/>
        <v>0.7049605404396764</v>
      </c>
      <c r="K328" s="12">
        <f t="shared" si="224"/>
        <v>0.6650571136223362</v>
      </c>
      <c r="L328" s="12">
        <f t="shared" si="224"/>
        <v>0.6274123713418266</v>
      </c>
      <c r="M328" s="98">
        <f t="shared" si="224"/>
        <v>0.5918984635300251</v>
      </c>
      <c r="N328" s="12">
        <f t="shared" si="224"/>
        <v>0.558394776915118</v>
      </c>
      <c r="O328" s="12">
        <f t="shared" si="224"/>
        <v>0.5267875253916207</v>
      </c>
      <c r="P328" s="12">
        <f t="shared" si="224"/>
        <v>0.4969693635770006</v>
      </c>
      <c r="Q328" s="12">
        <f t="shared" si="224"/>
        <v>0.4688390222424534</v>
      </c>
    </row>
    <row r="329" spans="1:17" ht="14.25" customHeight="1" hidden="1">
      <c r="A329" s="45"/>
      <c r="B329" s="42"/>
      <c r="C329" s="39" t="s">
        <v>87</v>
      </c>
      <c r="D329" s="42"/>
      <c r="E329" s="23">
        <f>E324</f>
        <v>55.884297520661306</v>
      </c>
      <c r="F329" s="23">
        <f aca="true" t="shared" si="225" ref="F329:P329">F324</f>
        <v>-89.82727272727246</v>
      </c>
      <c r="G329" s="23">
        <f t="shared" si="225"/>
        <v>203.05000000000015</v>
      </c>
      <c r="H329" s="23">
        <f t="shared" si="225"/>
        <v>230.32500000000044</v>
      </c>
      <c r="I329" s="23">
        <f t="shared" si="225"/>
        <v>234.93150000000017</v>
      </c>
      <c r="J329" s="23">
        <f t="shared" si="225"/>
        <v>239.63013000000052</v>
      </c>
      <c r="K329" s="23">
        <f t="shared" si="225"/>
        <v>244.42273260000024</v>
      </c>
      <c r="L329" s="23">
        <f t="shared" si="225"/>
        <v>249.31118725199983</v>
      </c>
      <c r="M329" s="23">
        <f t="shared" si="225"/>
        <v>254.29741099704052</v>
      </c>
      <c r="N329" s="23">
        <f t="shared" si="225"/>
        <v>259.38335921698115</v>
      </c>
      <c r="O329" s="23">
        <f t="shared" si="225"/>
        <v>264.57102640132126</v>
      </c>
      <c r="P329" s="23">
        <f t="shared" si="225"/>
        <v>269.86244692934656</v>
      </c>
      <c r="Q329" s="1">
        <f>P329*(1+O$5)+P329*(1+O$5)*(1+O$5)/(P327-O$5)</f>
        <v>7294.381940500238</v>
      </c>
    </row>
    <row r="330" spans="1:17" ht="14.25" customHeight="1" hidden="1">
      <c r="A330" s="16"/>
      <c r="C330" s="21" t="s">
        <v>38</v>
      </c>
      <c r="D330" s="1"/>
      <c r="E330" s="1">
        <f aca="true" t="shared" si="226" ref="E330:Q330">E329*E328</f>
        <v>52.72103539685028</v>
      </c>
      <c r="F330" s="1">
        <f t="shared" si="226"/>
        <v>-79.94595294346071</v>
      </c>
      <c r="G330" s="29">
        <f t="shared" si="226"/>
        <v>170.484695419709</v>
      </c>
      <c r="H330" s="1">
        <f t="shared" si="226"/>
        <v>182.4389729852974</v>
      </c>
      <c r="I330" s="1">
        <f t="shared" si="226"/>
        <v>175.5544834386822</v>
      </c>
      <c r="J330" s="1">
        <f t="shared" si="226"/>
        <v>168.92978595043027</v>
      </c>
      <c r="K330" s="1">
        <f t="shared" si="226"/>
        <v>162.55507704664026</v>
      </c>
      <c r="L330" s="1">
        <f t="shared" si="226"/>
        <v>156.42092319582338</v>
      </c>
      <c r="M330" s="29">
        <f t="shared" si="226"/>
        <v>150.51824684881157</v>
      </c>
      <c r="N330" s="1">
        <f t="shared" si="226"/>
        <v>144.8383130054601</v>
      </c>
      <c r="O330" s="1">
        <f t="shared" si="226"/>
        <v>139.37271628827315</v>
      </c>
      <c r="P330" s="1">
        <f t="shared" si="226"/>
        <v>134.11336850380945</v>
      </c>
      <c r="Q330" s="1">
        <f t="shared" si="226"/>
        <v>3419.8908968471414</v>
      </c>
    </row>
    <row r="331" spans="1:16" ht="14.25" customHeight="1">
      <c r="A331" s="16"/>
      <c r="B331" s="157" t="s">
        <v>89</v>
      </c>
      <c r="C331" s="156" t="s">
        <v>88</v>
      </c>
      <c r="D331" s="18">
        <f>SUM(E330:$Q330)/D328</f>
        <v>4977.892561983468</v>
      </c>
      <c r="E331" s="18">
        <f>SUM(F330:$Q330)/E328</f>
        <v>5220.681818181814</v>
      </c>
      <c r="F331" s="18">
        <f>SUM(G330:$Q330)/F328</f>
        <v>5623.749999999996</v>
      </c>
      <c r="G331" s="91">
        <f>SUM(H330:$Q330)/G328</f>
        <v>5758.124999999996</v>
      </c>
      <c r="H331" s="18">
        <f>SUM(I330:$Q330)/H328</f>
        <v>5873.287499999996</v>
      </c>
      <c r="I331" s="18">
        <f>SUM(J330:$Q330)/I328</f>
        <v>5990.753249999995</v>
      </c>
      <c r="J331" s="18">
        <f>SUM(K330:$Q330)/J328</f>
        <v>6110.568314999996</v>
      </c>
      <c r="K331" s="18">
        <f>SUM(L330:$Q330)/K328</f>
        <v>6232.779681299994</v>
      </c>
      <c r="L331" s="18">
        <f>SUM(M330:$Q330)/L328</f>
        <v>6357.435274925995</v>
      </c>
      <c r="M331" s="91">
        <f>SUM(N330:$Q330)/M328</f>
        <v>6484.583980424514</v>
      </c>
      <c r="N331" s="18">
        <f>SUM(O330:$Q330)/N328</f>
        <v>6614.275660033005</v>
      </c>
      <c r="O331" s="18">
        <f>SUM(P330:$Q330)/O328</f>
        <v>6746.561173233664</v>
      </c>
      <c r="P331" s="18">
        <f>SUM(Q330:$Q330)/P328</f>
        <v>6881.492396698338</v>
      </c>
    </row>
    <row r="332" spans="1:16" ht="14.25" customHeight="1">
      <c r="A332" s="16"/>
      <c r="B332" s="4" t="s">
        <v>48</v>
      </c>
      <c r="C332" s="39" t="s">
        <v>90</v>
      </c>
      <c r="D332" s="38">
        <f aca="true" t="shared" si="227" ref="D332:P332">D331-D$62</f>
        <v>3477.89256198347</v>
      </c>
      <c r="E332" s="38">
        <f t="shared" si="227"/>
        <v>3720.681818181816</v>
      </c>
      <c r="F332" s="38">
        <f t="shared" si="227"/>
        <v>4123.749999999998</v>
      </c>
      <c r="G332" s="38">
        <f t="shared" si="227"/>
        <v>4258.124999999998</v>
      </c>
      <c r="H332" s="38">
        <f t="shared" si="227"/>
        <v>4343.287499999998</v>
      </c>
      <c r="I332" s="38">
        <f t="shared" si="227"/>
        <v>4430.153249999997</v>
      </c>
      <c r="J332" s="38">
        <f t="shared" si="227"/>
        <v>4518.756314999998</v>
      </c>
      <c r="K332" s="38">
        <f t="shared" si="227"/>
        <v>4609.131441299996</v>
      </c>
      <c r="L332" s="38">
        <f t="shared" si="227"/>
        <v>4701.314070125997</v>
      </c>
      <c r="M332" s="38">
        <f t="shared" si="227"/>
        <v>4795.340351528515</v>
      </c>
      <c r="N332" s="38">
        <f t="shared" si="227"/>
        <v>4891.2471585590865</v>
      </c>
      <c r="O332" s="38">
        <f t="shared" si="227"/>
        <v>4989.072101730267</v>
      </c>
      <c r="P332" s="38">
        <f t="shared" si="227"/>
        <v>5088.853543764873</v>
      </c>
    </row>
    <row r="333" spans="1:16" ht="14.25" customHeight="1">
      <c r="A333" s="16"/>
      <c r="B333" s="104"/>
      <c r="C333" s="92"/>
      <c r="D333" s="105"/>
      <c r="E333" s="105"/>
      <c r="F333" s="105"/>
      <c r="G333" s="50"/>
      <c r="H333" s="105"/>
      <c r="I333" s="105"/>
      <c r="J333" s="43"/>
      <c r="K333" s="43"/>
      <c r="L333" s="43"/>
      <c r="M333" s="102"/>
      <c r="N333" s="43"/>
      <c r="O333" s="43"/>
      <c r="P333" s="43"/>
    </row>
    <row r="334" spans="1:17" ht="14.25" customHeight="1" hidden="1">
      <c r="A334" s="16"/>
      <c r="B334" s="104"/>
      <c r="C334" s="4" t="s">
        <v>2</v>
      </c>
      <c r="D334" s="105">
        <f aca="true" t="shared" si="228" ref="D334:P334">D$49</f>
        <v>0.06</v>
      </c>
      <c r="E334" s="105">
        <f t="shared" si="228"/>
        <v>0.06</v>
      </c>
      <c r="F334" s="105">
        <f t="shared" si="228"/>
        <v>0.06</v>
      </c>
      <c r="G334" s="105">
        <f t="shared" si="228"/>
        <v>0.06</v>
      </c>
      <c r="H334" s="105">
        <f t="shared" si="228"/>
        <v>0.06</v>
      </c>
      <c r="I334" s="105">
        <f t="shared" si="228"/>
        <v>0.06</v>
      </c>
      <c r="J334" s="105">
        <f t="shared" si="228"/>
        <v>0.06</v>
      </c>
      <c r="K334" s="105">
        <f t="shared" si="228"/>
        <v>0.06</v>
      </c>
      <c r="L334" s="105">
        <f t="shared" si="228"/>
        <v>0.06</v>
      </c>
      <c r="M334" s="105">
        <f t="shared" si="228"/>
        <v>0.06</v>
      </c>
      <c r="N334" s="105">
        <f t="shared" si="228"/>
        <v>0.06</v>
      </c>
      <c r="O334" s="105">
        <f t="shared" si="228"/>
        <v>0.06</v>
      </c>
      <c r="P334" s="105">
        <f t="shared" si="228"/>
        <v>0.06</v>
      </c>
      <c r="Q334" s="49">
        <f>P334</f>
        <v>0.06</v>
      </c>
    </row>
    <row r="335" spans="1:17" ht="14.25" customHeight="1" hidden="1">
      <c r="A335" s="16"/>
      <c r="C335" s="158" t="s">
        <v>91</v>
      </c>
      <c r="D335" s="12">
        <v>1</v>
      </c>
      <c r="E335" s="12">
        <f>1/(1+D334)</f>
        <v>0.9433962264150942</v>
      </c>
      <c r="F335" s="12">
        <f aca="true" t="shared" si="229" ref="F335:Q335">E335/(1+E334)</f>
        <v>0.8899964400142398</v>
      </c>
      <c r="G335" s="98">
        <f t="shared" si="229"/>
        <v>0.8396192830323017</v>
      </c>
      <c r="H335" s="12">
        <f t="shared" si="229"/>
        <v>0.7920936632380204</v>
      </c>
      <c r="I335" s="12">
        <f t="shared" si="229"/>
        <v>0.747258172866057</v>
      </c>
      <c r="J335" s="12">
        <f t="shared" si="229"/>
        <v>0.7049605404396764</v>
      </c>
      <c r="K335" s="12">
        <f t="shared" si="229"/>
        <v>0.6650571136223362</v>
      </c>
      <c r="L335" s="12">
        <f t="shared" si="229"/>
        <v>0.6274123713418266</v>
      </c>
      <c r="M335" s="98">
        <f t="shared" si="229"/>
        <v>0.5918984635300251</v>
      </c>
      <c r="N335" s="12">
        <f t="shared" si="229"/>
        <v>0.558394776915118</v>
      </c>
      <c r="O335" s="12">
        <f t="shared" si="229"/>
        <v>0.5267875253916207</v>
      </c>
      <c r="P335" s="12">
        <f t="shared" si="229"/>
        <v>0.4969693635770006</v>
      </c>
      <c r="Q335" s="12">
        <f t="shared" si="229"/>
        <v>0.4688390222424534</v>
      </c>
    </row>
    <row r="336" spans="1:17" ht="14.25" customHeight="1" hidden="1">
      <c r="A336" s="45"/>
      <c r="B336" s="42"/>
      <c r="C336" s="39" t="s">
        <v>86</v>
      </c>
      <c r="D336" s="42"/>
      <c r="E336" s="23">
        <f>E325</f>
        <v>-34.11570247933864</v>
      </c>
      <c r="F336" s="23">
        <f aca="true" t="shared" si="230" ref="F336:P336">F325</f>
        <v>-179.82727272727246</v>
      </c>
      <c r="G336" s="23">
        <f t="shared" si="230"/>
        <v>113.05000000000021</v>
      </c>
      <c r="H336" s="23">
        <f t="shared" si="230"/>
        <v>170.32500000000041</v>
      </c>
      <c r="I336" s="23">
        <f t="shared" si="230"/>
        <v>173.73150000000032</v>
      </c>
      <c r="J336" s="23">
        <f t="shared" si="230"/>
        <v>177.2061300000004</v>
      </c>
      <c r="K336" s="23">
        <f t="shared" si="230"/>
        <v>180.75025260000027</v>
      </c>
      <c r="L336" s="23">
        <f t="shared" si="230"/>
        <v>184.36525765199985</v>
      </c>
      <c r="M336" s="23">
        <f t="shared" si="230"/>
        <v>188.05256280504057</v>
      </c>
      <c r="N336" s="23">
        <f t="shared" si="230"/>
        <v>191.81361406114115</v>
      </c>
      <c r="O336" s="23">
        <f t="shared" si="230"/>
        <v>195.6498863423646</v>
      </c>
      <c r="P336" s="23">
        <f t="shared" si="230"/>
        <v>199.56288406921072</v>
      </c>
      <c r="Q336" s="1">
        <f>P336*(1+O$5)+P336*(1+O$5)*(1+O$5)/(P334-O$5)</f>
        <v>5394.184756390767</v>
      </c>
    </row>
    <row r="337" spans="1:17" ht="14.25" customHeight="1" hidden="1">
      <c r="A337" s="16"/>
      <c r="C337" s="158" t="s">
        <v>54</v>
      </c>
      <c r="D337" s="1"/>
      <c r="E337" s="1">
        <f aca="true" t="shared" si="231" ref="E337:Q337">E336*E335</f>
        <v>-32.18462498050815</v>
      </c>
      <c r="F337" s="1">
        <f t="shared" si="231"/>
        <v>-160.0456325447423</v>
      </c>
      <c r="G337" s="29">
        <f t="shared" si="231"/>
        <v>94.91895994680189</v>
      </c>
      <c r="H337" s="1">
        <f t="shared" si="231"/>
        <v>134.91335319101617</v>
      </c>
      <c r="I337" s="1">
        <f t="shared" si="231"/>
        <v>129.82228325927963</v>
      </c>
      <c r="J337" s="1">
        <f t="shared" si="231"/>
        <v>124.92332917402383</v>
      </c>
      <c r="K337" s="1">
        <f t="shared" si="231"/>
        <v>120.20924128066434</v>
      </c>
      <c r="L337" s="1">
        <f t="shared" si="231"/>
        <v>115.67304349648806</v>
      </c>
      <c r="M337" s="29">
        <f t="shared" si="231"/>
        <v>111.30802298718704</v>
      </c>
      <c r="N337" s="1">
        <f t="shared" si="231"/>
        <v>107.10772023295345</v>
      </c>
      <c r="O337" s="1">
        <f t="shared" si="231"/>
        <v>103.06591946944609</v>
      </c>
      <c r="P337" s="1">
        <f t="shared" si="231"/>
        <v>99.17663948946641</v>
      </c>
      <c r="Q337" s="1">
        <f t="shared" si="231"/>
        <v>2529.0043069813937</v>
      </c>
    </row>
    <row r="338" spans="1:16" ht="14.25" customHeight="1">
      <c r="A338" s="16"/>
      <c r="B338" s="157"/>
      <c r="C338" s="156" t="s">
        <v>92</v>
      </c>
      <c r="D338" s="52">
        <f>SUM(E337:$Q337)/D335</f>
        <v>3477.89256198347</v>
      </c>
      <c r="E338" s="52">
        <f>SUM(F337:$Q337)/E335</f>
        <v>3720.6818181818176</v>
      </c>
      <c r="F338" s="52">
        <f>SUM(G337:$Q337)/F335</f>
        <v>4123.749999999999</v>
      </c>
      <c r="G338" s="159">
        <f>SUM(H337:$Q337)/G335</f>
        <v>4258.124999999999</v>
      </c>
      <c r="H338" s="52">
        <f>SUM(I337:$Q337)/H335</f>
        <v>4343.2874999999985</v>
      </c>
      <c r="I338" s="52">
        <f>SUM(J337:$Q337)/I335</f>
        <v>4430.1532499999985</v>
      </c>
      <c r="J338" s="52">
        <f>SUM(K337:$Q337)/J335</f>
        <v>4518.756314999998</v>
      </c>
      <c r="K338" s="52">
        <f>SUM(L337:$Q337)/K335</f>
        <v>4609.131441299997</v>
      </c>
      <c r="L338" s="52">
        <f>SUM(M337:$Q337)/L335</f>
        <v>4701.314070125998</v>
      </c>
      <c r="M338" s="159">
        <f>SUM(N337:$Q337)/M335</f>
        <v>4795.340351528517</v>
      </c>
      <c r="N338" s="52">
        <f>SUM(O337:$Q337)/N335</f>
        <v>4891.247158559087</v>
      </c>
      <c r="O338" s="52">
        <f>SUM(P337:$Q337)/O335</f>
        <v>4989.0721017302685</v>
      </c>
      <c r="P338" s="52">
        <f>SUM(Q337:$Q337)/P335</f>
        <v>5088.853543764874</v>
      </c>
    </row>
    <row r="339" ht="10.5">
      <c r="D339" s="6">
        <f>(D338+D332+D322+D315+D306+D301+D293+D285+D277+D269)/10</f>
        <v>3477.89256198347</v>
      </c>
    </row>
    <row r="340" spans="2:17" ht="10.5">
      <c r="B340" s="104" t="s">
        <v>95</v>
      </c>
      <c r="C340" s="104" t="s">
        <v>95</v>
      </c>
      <c r="D340" s="104" t="s">
        <v>95</v>
      </c>
      <c r="E340" s="104" t="s">
        <v>95</v>
      </c>
      <c r="F340" s="104" t="s">
        <v>95</v>
      </c>
      <c r="G340" s="104" t="s">
        <v>95</v>
      </c>
      <c r="H340" s="104" t="s">
        <v>95</v>
      </c>
      <c r="I340" s="104" t="s">
        <v>95</v>
      </c>
      <c r="J340" s="104" t="s">
        <v>95</v>
      </c>
      <c r="K340" s="104" t="s">
        <v>95</v>
      </c>
      <c r="L340" s="104" t="s">
        <v>95</v>
      </c>
      <c r="M340" s="104" t="s">
        <v>95</v>
      </c>
      <c r="N340" s="104" t="s">
        <v>95</v>
      </c>
      <c r="O340" s="104" t="s">
        <v>95</v>
      </c>
      <c r="P340" s="104" t="s">
        <v>95</v>
      </c>
      <c r="Q340" s="104" t="s">
        <v>95</v>
      </c>
    </row>
    <row r="341" spans="1:16" ht="12.75" customHeight="1">
      <c r="A341" s="16"/>
      <c r="B341" s="104"/>
      <c r="C341" s="92"/>
      <c r="D341" s="105"/>
      <c r="E341" s="105"/>
      <c r="F341" s="105"/>
      <c r="G341" s="50"/>
      <c r="H341" s="105"/>
      <c r="I341" s="105"/>
      <c r="J341" s="43"/>
      <c r="K341" s="43"/>
      <c r="L341" s="43"/>
      <c r="M341" s="102"/>
      <c r="N341" s="43"/>
      <c r="O341" s="43"/>
      <c r="P341" s="43"/>
    </row>
    <row r="342" spans="1:41" s="7" customFormat="1" ht="15.75" customHeight="1">
      <c r="A342" s="55"/>
      <c r="B342" s="56"/>
      <c r="C342" s="56"/>
      <c r="D342" s="92"/>
      <c r="E342" s="61"/>
      <c r="F342" s="155" t="s">
        <v>97</v>
      </c>
      <c r="G342" s="62"/>
      <c r="H342" s="61"/>
      <c r="I342" s="61"/>
      <c r="J342" s="61"/>
      <c r="K342" s="61"/>
      <c r="L342" s="61"/>
      <c r="M342" s="61"/>
      <c r="N342" s="61"/>
      <c r="O342" s="61"/>
      <c r="P342" s="61"/>
      <c r="Q342" s="4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</row>
    <row r="343" spans="1:41" s="7" customFormat="1" ht="12" customHeight="1">
      <c r="A343" s="55"/>
      <c r="B343" s="56"/>
      <c r="C343" s="56"/>
      <c r="D343" s="92"/>
      <c r="E343" s="61"/>
      <c r="F343" s="61"/>
      <c r="G343" s="62"/>
      <c r="H343" s="61"/>
      <c r="I343" s="61"/>
      <c r="J343" s="61"/>
      <c r="K343" s="61"/>
      <c r="L343" s="61"/>
      <c r="M343" s="61"/>
      <c r="N343" s="61"/>
      <c r="O343" s="61"/>
      <c r="P343" s="61"/>
      <c r="Q343" s="4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</row>
    <row r="344" spans="1:17" ht="12" customHeight="1" thickBot="1">
      <c r="A344" s="16"/>
      <c r="B344"/>
      <c r="C344"/>
      <c r="D344" s="66">
        <v>0</v>
      </c>
      <c r="E344" s="66">
        <v>1</v>
      </c>
      <c r="F344" s="66">
        <f aca="true" t="shared" si="232" ref="F344:Q344">E344+1</f>
        <v>2</v>
      </c>
      <c r="G344" s="150">
        <f t="shared" si="232"/>
        <v>3</v>
      </c>
      <c r="H344" s="66">
        <f t="shared" si="232"/>
        <v>4</v>
      </c>
      <c r="I344" s="103">
        <f t="shared" si="232"/>
        <v>5</v>
      </c>
      <c r="J344" s="103">
        <f t="shared" si="232"/>
        <v>6</v>
      </c>
      <c r="K344" s="103">
        <f t="shared" si="232"/>
        <v>7</v>
      </c>
      <c r="L344" s="103">
        <f t="shared" si="232"/>
        <v>8</v>
      </c>
      <c r="M344" s="111">
        <f t="shared" si="232"/>
        <v>9</v>
      </c>
      <c r="N344" s="103">
        <f t="shared" si="232"/>
        <v>10</v>
      </c>
      <c r="O344" s="103">
        <f t="shared" si="232"/>
        <v>11</v>
      </c>
      <c r="P344" s="103">
        <f t="shared" si="232"/>
        <v>12</v>
      </c>
      <c r="Q344" s="103">
        <f t="shared" si="232"/>
        <v>13</v>
      </c>
    </row>
    <row r="345" spans="1:17" ht="12" customHeight="1">
      <c r="A345" s="16"/>
      <c r="C345" s="4" t="s">
        <v>35</v>
      </c>
      <c r="D345" s="43">
        <f>$D$1</f>
        <v>1</v>
      </c>
      <c r="E345" s="43">
        <f aca="true" t="shared" si="233" ref="E345:Q345">D345</f>
        <v>1</v>
      </c>
      <c r="F345" s="43">
        <f t="shared" si="233"/>
        <v>1</v>
      </c>
      <c r="G345" s="143">
        <f t="shared" si="233"/>
        <v>1</v>
      </c>
      <c r="H345" s="43">
        <f t="shared" si="233"/>
        <v>1</v>
      </c>
      <c r="I345" s="43">
        <f t="shared" si="233"/>
        <v>1</v>
      </c>
      <c r="J345" s="43">
        <f t="shared" si="233"/>
        <v>1</v>
      </c>
      <c r="K345" s="43">
        <f t="shared" si="233"/>
        <v>1</v>
      </c>
      <c r="L345" s="43">
        <f t="shared" si="233"/>
        <v>1</v>
      </c>
      <c r="M345" s="8">
        <f t="shared" si="233"/>
        <v>1</v>
      </c>
      <c r="N345" s="43">
        <f t="shared" si="233"/>
        <v>1</v>
      </c>
      <c r="O345" s="43">
        <f t="shared" si="233"/>
        <v>1</v>
      </c>
      <c r="P345" s="8">
        <f t="shared" si="233"/>
        <v>1</v>
      </c>
      <c r="Q345" s="161">
        <f t="shared" si="233"/>
        <v>1</v>
      </c>
    </row>
    <row r="346" spans="1:17" ht="12" customHeight="1">
      <c r="A346" s="16"/>
      <c r="C346" s="4" t="s">
        <v>2</v>
      </c>
      <c r="D346" s="11">
        <f>$D$2</f>
        <v>0.06</v>
      </c>
      <c r="E346" s="11">
        <f aca="true" t="shared" si="234" ref="E346:Q346">D346</f>
        <v>0.06</v>
      </c>
      <c r="F346" s="11">
        <f t="shared" si="234"/>
        <v>0.06</v>
      </c>
      <c r="G346" s="54">
        <f t="shared" si="234"/>
        <v>0.06</v>
      </c>
      <c r="H346" s="11">
        <f t="shared" si="234"/>
        <v>0.06</v>
      </c>
      <c r="I346" s="11">
        <f t="shared" si="234"/>
        <v>0.06</v>
      </c>
      <c r="J346" s="11">
        <f t="shared" si="234"/>
        <v>0.06</v>
      </c>
      <c r="K346" s="11">
        <f t="shared" si="234"/>
        <v>0.06</v>
      </c>
      <c r="L346" s="11">
        <f t="shared" si="234"/>
        <v>0.06</v>
      </c>
      <c r="M346" s="54">
        <f t="shared" si="234"/>
        <v>0.06</v>
      </c>
      <c r="N346" s="11">
        <f t="shared" si="234"/>
        <v>0.06</v>
      </c>
      <c r="O346" s="11">
        <f t="shared" si="234"/>
        <v>0.06</v>
      </c>
      <c r="P346" s="11">
        <f t="shared" si="234"/>
        <v>0.06</v>
      </c>
      <c r="Q346" s="11">
        <f t="shared" si="234"/>
        <v>0.06</v>
      </c>
    </row>
    <row r="347" spans="1:17" ht="12" customHeight="1">
      <c r="A347" s="16"/>
      <c r="C347" s="4" t="s">
        <v>115</v>
      </c>
      <c r="D347" s="11">
        <f>$D$3</f>
        <v>0.04</v>
      </c>
      <c r="E347" s="11">
        <f aca="true" t="shared" si="235" ref="E347:Q347">D347</f>
        <v>0.04</v>
      </c>
      <c r="F347" s="11">
        <f t="shared" si="235"/>
        <v>0.04</v>
      </c>
      <c r="G347" s="54">
        <f t="shared" si="235"/>
        <v>0.04</v>
      </c>
      <c r="H347" s="11">
        <f t="shared" si="235"/>
        <v>0.04</v>
      </c>
      <c r="I347" s="11">
        <f t="shared" si="235"/>
        <v>0.04</v>
      </c>
      <c r="J347" s="11">
        <f t="shared" si="235"/>
        <v>0.04</v>
      </c>
      <c r="K347" s="11">
        <f t="shared" si="235"/>
        <v>0.04</v>
      </c>
      <c r="L347" s="11">
        <f t="shared" si="235"/>
        <v>0.04</v>
      </c>
      <c r="M347" s="54">
        <f t="shared" si="235"/>
        <v>0.04</v>
      </c>
      <c r="N347" s="11">
        <f t="shared" si="235"/>
        <v>0.04</v>
      </c>
      <c r="O347" s="11">
        <f t="shared" si="235"/>
        <v>0.04</v>
      </c>
      <c r="P347" s="11">
        <f t="shared" si="235"/>
        <v>0.04</v>
      </c>
      <c r="Q347" s="11">
        <f t="shared" si="235"/>
        <v>0.04</v>
      </c>
    </row>
    <row r="348" spans="1:41" s="7" customFormat="1" ht="11.25" customHeight="1">
      <c r="A348" s="16"/>
      <c r="C348" s="7" t="s">
        <v>36</v>
      </c>
      <c r="D348" s="51">
        <f aca="true" t="shared" si="236" ref="D348:Q348">D346+D345*D347</f>
        <v>0.1</v>
      </c>
      <c r="E348" s="51">
        <f t="shared" si="236"/>
        <v>0.1</v>
      </c>
      <c r="F348" s="51">
        <f t="shared" si="236"/>
        <v>0.1</v>
      </c>
      <c r="G348" s="50">
        <f t="shared" si="236"/>
        <v>0.1</v>
      </c>
      <c r="H348" s="51">
        <f t="shared" si="236"/>
        <v>0.1</v>
      </c>
      <c r="I348" s="51">
        <f t="shared" si="236"/>
        <v>0.1</v>
      </c>
      <c r="J348" s="51">
        <f t="shared" si="236"/>
        <v>0.1</v>
      </c>
      <c r="K348" s="51">
        <f t="shared" si="236"/>
        <v>0.1</v>
      </c>
      <c r="L348" s="51">
        <f t="shared" si="236"/>
        <v>0.1</v>
      </c>
      <c r="M348" s="50">
        <f t="shared" si="236"/>
        <v>0.1</v>
      </c>
      <c r="N348" s="51">
        <f t="shared" si="236"/>
        <v>0.1</v>
      </c>
      <c r="O348" s="51">
        <f t="shared" si="236"/>
        <v>0.1</v>
      </c>
      <c r="P348" s="51">
        <f t="shared" si="236"/>
        <v>0.1</v>
      </c>
      <c r="Q348" s="51">
        <f t="shared" si="236"/>
        <v>0.1</v>
      </c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</row>
    <row r="349" spans="1:41" s="7" customFormat="1" ht="11.25" customHeight="1" hidden="1">
      <c r="A349" s="16"/>
      <c r="C349" s="21" t="s">
        <v>37</v>
      </c>
      <c r="D349" s="12">
        <v>1</v>
      </c>
      <c r="E349" s="85">
        <f aca="true" t="shared" si="237" ref="E349:Q349">D349/(1+D348)</f>
        <v>0.9090909090909091</v>
      </c>
      <c r="F349" s="85">
        <f t="shared" si="237"/>
        <v>0.8264462809917354</v>
      </c>
      <c r="G349" s="94">
        <f t="shared" si="237"/>
        <v>0.7513148009015777</v>
      </c>
      <c r="H349" s="85">
        <f t="shared" si="237"/>
        <v>0.6830134553650705</v>
      </c>
      <c r="I349" s="85">
        <f t="shared" si="237"/>
        <v>0.6209213230591549</v>
      </c>
      <c r="J349" s="85">
        <f t="shared" si="237"/>
        <v>0.5644739300537771</v>
      </c>
      <c r="K349" s="85">
        <f t="shared" si="237"/>
        <v>0.5131581182307065</v>
      </c>
      <c r="L349" s="85">
        <f t="shared" si="237"/>
        <v>0.4665073802097331</v>
      </c>
      <c r="M349" s="94">
        <f t="shared" si="237"/>
        <v>0.4240976183724846</v>
      </c>
      <c r="N349" s="85">
        <f t="shared" si="237"/>
        <v>0.3855432894295314</v>
      </c>
      <c r="O349" s="85">
        <f t="shared" si="237"/>
        <v>0.35049389948139215</v>
      </c>
      <c r="P349" s="85">
        <f t="shared" si="237"/>
        <v>0.31863081771035645</v>
      </c>
      <c r="Q349" s="85">
        <f t="shared" si="237"/>
        <v>0.2896643797366877</v>
      </c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</row>
    <row r="350" spans="3:17" ht="11.25" customHeight="1" hidden="1">
      <c r="C350" s="4" t="s">
        <v>31</v>
      </c>
      <c r="E350" s="5">
        <f>E$41</f>
        <v>243</v>
      </c>
      <c r="F350" s="5">
        <f aca="true" t="shared" si="238" ref="F350:P350">F$41</f>
        <v>107</v>
      </c>
      <c r="G350" s="5">
        <f t="shared" si="238"/>
        <v>416</v>
      </c>
      <c r="H350" s="5">
        <f t="shared" si="238"/>
        <v>448.6500000000001</v>
      </c>
      <c r="I350" s="5">
        <f t="shared" si="238"/>
        <v>457.6229999999999</v>
      </c>
      <c r="J350" s="5">
        <f t="shared" si="238"/>
        <v>466.7754600000002</v>
      </c>
      <c r="K350" s="5">
        <f t="shared" si="238"/>
        <v>476.1109691999999</v>
      </c>
      <c r="L350" s="5">
        <f t="shared" si="238"/>
        <v>485.63318858399964</v>
      </c>
      <c r="M350" s="5">
        <f t="shared" si="238"/>
        <v>495.3458523556802</v>
      </c>
      <c r="N350" s="5">
        <f t="shared" si="238"/>
        <v>505.2527694027938</v>
      </c>
      <c r="O350" s="5">
        <f t="shared" si="238"/>
        <v>515.35782479085</v>
      </c>
      <c r="P350" s="5">
        <f t="shared" si="238"/>
        <v>525.6649812866659</v>
      </c>
      <c r="Q350" s="162">
        <f>P350*(1+O$5)+P350*(1+O$5)*(1+O$5)/(P348-O$5)</f>
        <v>7372.451362545489</v>
      </c>
    </row>
    <row r="351" spans="3:17" ht="11.25" customHeight="1" hidden="1">
      <c r="C351" s="21" t="s">
        <v>38</v>
      </c>
      <c r="E351" s="5">
        <f>E349*E350</f>
        <v>220.9090909090909</v>
      </c>
      <c r="F351" s="5">
        <f aca="true" t="shared" si="239" ref="F351:Q351">F349*F350</f>
        <v>88.4297520661157</v>
      </c>
      <c r="G351" s="93">
        <f t="shared" si="239"/>
        <v>312.5469571750563</v>
      </c>
      <c r="H351" s="5">
        <f t="shared" si="239"/>
        <v>306.433986749539</v>
      </c>
      <c r="I351" s="5">
        <f t="shared" si="239"/>
        <v>284.1478786222996</v>
      </c>
      <c r="J351" s="5">
        <f t="shared" si="239"/>
        <v>263.4825783588597</v>
      </c>
      <c r="K351" s="5">
        <f t="shared" si="239"/>
        <v>244.32020902366978</v>
      </c>
      <c r="L351" s="5">
        <f t="shared" si="239"/>
        <v>226.55146654922092</v>
      </c>
      <c r="M351" s="93">
        <f t="shared" si="239"/>
        <v>210.07499625473238</v>
      </c>
      <c r="N351" s="5">
        <f t="shared" si="239"/>
        <v>194.79681470893362</v>
      </c>
      <c r="O351" s="5">
        <f t="shared" si="239"/>
        <v>180.6297736391931</v>
      </c>
      <c r="P351" s="5">
        <f t="shared" si="239"/>
        <v>167.49306282906957</v>
      </c>
      <c r="Q351" s="5">
        <f t="shared" si="239"/>
        <v>2135.536551070637</v>
      </c>
    </row>
    <row r="352" spans="1:41" s="77" customFormat="1" ht="11.25" customHeight="1" thickBot="1">
      <c r="A352" s="64"/>
      <c r="C352" s="78" t="s">
        <v>39</v>
      </c>
      <c r="D352" s="79">
        <f>SUM(E351:$Q351)/D349</f>
        <v>4835.353117956418</v>
      </c>
      <c r="E352" s="79">
        <f>SUM(F351:$Q351)/E349</f>
        <v>5075.888429752059</v>
      </c>
      <c r="F352" s="79">
        <f>SUM(G351:$Q351)/F349</f>
        <v>5476.477272727266</v>
      </c>
      <c r="G352" s="95">
        <f>SUM(H351:$Q351)/G349</f>
        <v>5608.124999999993</v>
      </c>
      <c r="H352" s="79">
        <f>SUM(I351:$Q351)/H349</f>
        <v>5720.287499999992</v>
      </c>
      <c r="I352" s="79">
        <f>SUM(J351:$Q351)/I349</f>
        <v>5834.693249999993</v>
      </c>
      <c r="J352" s="79">
        <f>SUM(K351:$Q351)/J349</f>
        <v>5951.387114999992</v>
      </c>
      <c r="K352" s="79">
        <f>SUM(L351:$Q351)/K349</f>
        <v>6070.414857299992</v>
      </c>
      <c r="L352" s="79">
        <f>SUM(M351:$Q351)/L349</f>
        <v>6191.823154445992</v>
      </c>
      <c r="M352" s="95">
        <f>SUM(N351:$Q351)/M349</f>
        <v>6315.659617534911</v>
      </c>
      <c r="N352" s="79">
        <f>SUM(O351:$Q351)/N349</f>
        <v>6441.972809885611</v>
      </c>
      <c r="O352" s="79">
        <f>SUM(P351:$Q351)/O349</f>
        <v>6570.812266083322</v>
      </c>
      <c r="P352" s="79">
        <f>SUM(Q351:$Q351)/P349</f>
        <v>6702.22851140499</v>
      </c>
      <c r="Q352" s="80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</row>
    <row r="353" spans="1:17" ht="10.5" hidden="1">
      <c r="A353" s="16"/>
      <c r="C353" s="6" t="s">
        <v>40</v>
      </c>
      <c r="D353" s="6"/>
      <c r="E353" s="44" t="e">
        <f>#REF!/#REF!-1</f>
        <v>#REF!</v>
      </c>
      <c r="F353" s="44" t="e">
        <f>#REF!/#REF!-1</f>
        <v>#REF!</v>
      </c>
      <c r="G353" s="30" t="e">
        <f>#REF!/#REF!-1</f>
        <v>#REF!</v>
      </c>
      <c r="H353" s="44" t="e">
        <f>#REF!/#REF!-1</f>
        <v>#REF!</v>
      </c>
      <c r="I353" s="44" t="e">
        <f>#REF!/#REF!-1</f>
        <v>#REF!</v>
      </c>
      <c r="J353" s="44" t="e">
        <f>#REF!/#REF!-1</f>
        <v>#REF!</v>
      </c>
      <c r="K353" s="44" t="e">
        <f>#REF!/#REF!-1</f>
        <v>#REF!</v>
      </c>
      <c r="L353" s="44" t="e">
        <f>#REF!/#REF!-1</f>
        <v>#REF!</v>
      </c>
      <c r="M353" s="30" t="e">
        <f>#REF!/#REF!-1</f>
        <v>#REF!</v>
      </c>
      <c r="N353" s="44" t="e">
        <f>#REF!/#REF!-1</f>
        <v>#REF!</v>
      </c>
      <c r="O353" s="44" t="e">
        <f>#REF!/#REF!-1</f>
        <v>#REF!</v>
      </c>
      <c r="P353" s="44" t="e">
        <f>#REF!/#REF!-1</f>
        <v>#REF!</v>
      </c>
      <c r="Q353" s="44" t="e">
        <f>Q352/#REF!-1</f>
        <v>#REF!</v>
      </c>
    </row>
    <row r="354" spans="1:17" ht="6.75" customHeight="1">
      <c r="A354" s="16"/>
      <c r="D354" s="1"/>
      <c r="E354" s="1"/>
      <c r="F354" s="1"/>
      <c r="G354" s="29"/>
      <c r="H354" s="1"/>
      <c r="I354" s="1"/>
      <c r="J354" s="3"/>
      <c r="K354" s="3"/>
      <c r="L354" s="3"/>
      <c r="M354" s="35"/>
      <c r="N354" s="3"/>
      <c r="O354" s="3"/>
      <c r="P354" s="3"/>
      <c r="Q354" s="3"/>
    </row>
    <row r="355" spans="1:17" ht="12.75" customHeight="1">
      <c r="A355" s="16"/>
      <c r="C355" s="4" t="s">
        <v>41</v>
      </c>
      <c r="D355" s="1">
        <f aca="true" t="shared" si="240" ref="D355:Q355">D$13</f>
        <v>1500</v>
      </c>
      <c r="E355" s="1">
        <f t="shared" si="240"/>
        <v>1500</v>
      </c>
      <c r="F355" s="1">
        <f t="shared" si="240"/>
        <v>1500</v>
      </c>
      <c r="G355" s="1">
        <f t="shared" si="240"/>
        <v>1500</v>
      </c>
      <c r="H355" s="1">
        <f t="shared" si="240"/>
        <v>1530</v>
      </c>
      <c r="I355" s="1">
        <f t="shared" si="240"/>
        <v>1560.6000000000001</v>
      </c>
      <c r="J355" s="1">
        <f t="shared" si="240"/>
        <v>1591.8120000000001</v>
      </c>
      <c r="K355" s="1">
        <f t="shared" si="240"/>
        <v>1623.6482400000002</v>
      </c>
      <c r="L355" s="1">
        <f t="shared" si="240"/>
        <v>1656.1212048000002</v>
      </c>
      <c r="M355" s="1">
        <f t="shared" si="240"/>
        <v>1689.2436288960002</v>
      </c>
      <c r="N355" s="1">
        <f t="shared" si="240"/>
        <v>1723.0285014739202</v>
      </c>
      <c r="O355" s="1">
        <f t="shared" si="240"/>
        <v>1757.4890715033987</v>
      </c>
      <c r="P355" s="1">
        <f t="shared" si="240"/>
        <v>1792.6388529334668</v>
      </c>
      <c r="Q355" s="1">
        <f t="shared" si="240"/>
        <v>1828.491629992136</v>
      </c>
    </row>
    <row r="356" spans="1:17" s="69" customFormat="1" ht="12.75" customHeight="1" hidden="1">
      <c r="A356" s="55"/>
      <c r="C356" s="21" t="s">
        <v>42</v>
      </c>
      <c r="D356" s="12">
        <v>1</v>
      </c>
      <c r="E356" s="85">
        <f aca="true" t="shared" si="241" ref="E356:Q356">D356/(1+D$64)</f>
        <v>0.9259259259259258</v>
      </c>
      <c r="F356" s="85">
        <f t="shared" si="241"/>
        <v>0.8573388203017831</v>
      </c>
      <c r="G356" s="85">
        <f t="shared" si="241"/>
        <v>0.7938322410201695</v>
      </c>
      <c r="H356" s="85">
        <f t="shared" si="241"/>
        <v>0.7350298527964532</v>
      </c>
      <c r="I356" s="85">
        <f t="shared" si="241"/>
        <v>0.6805831970337529</v>
      </c>
      <c r="J356" s="85">
        <f t="shared" si="241"/>
        <v>0.6301696268831045</v>
      </c>
      <c r="K356" s="85">
        <f t="shared" si="241"/>
        <v>0.5834903952621338</v>
      </c>
      <c r="L356" s="85">
        <f t="shared" si="241"/>
        <v>0.5402688845019756</v>
      </c>
      <c r="M356" s="85">
        <f t="shared" si="241"/>
        <v>0.5002489671314588</v>
      </c>
      <c r="N356" s="85">
        <f t="shared" si="241"/>
        <v>0.4631934880846841</v>
      </c>
      <c r="O356" s="85">
        <f t="shared" si="241"/>
        <v>0.4288828593376704</v>
      </c>
      <c r="P356" s="85">
        <f t="shared" si="241"/>
        <v>0.3971137586459911</v>
      </c>
      <c r="Q356" s="85">
        <f t="shared" si="241"/>
        <v>0.36769792467221396</v>
      </c>
    </row>
    <row r="357" spans="1:17" s="69" customFormat="1" ht="12.75" customHeight="1" hidden="1">
      <c r="A357" s="55"/>
      <c r="C357" s="4" t="s">
        <v>32</v>
      </c>
      <c r="D357" s="86"/>
      <c r="E357" s="102">
        <f>E$42</f>
        <v>120</v>
      </c>
      <c r="F357" s="102">
        <f aca="true" t="shared" si="242" ref="F357:P357">F$42</f>
        <v>120</v>
      </c>
      <c r="G357" s="102">
        <f t="shared" si="242"/>
        <v>120</v>
      </c>
      <c r="H357" s="102">
        <f t="shared" si="242"/>
        <v>90</v>
      </c>
      <c r="I357" s="102">
        <f t="shared" si="242"/>
        <v>91.79999999999987</v>
      </c>
      <c r="J357" s="102">
        <f t="shared" si="242"/>
        <v>93.63600000000002</v>
      </c>
      <c r="K357" s="102">
        <f t="shared" si="242"/>
        <v>95.50871999999993</v>
      </c>
      <c r="L357" s="102">
        <f t="shared" si="242"/>
        <v>97.41889440000003</v>
      </c>
      <c r="M357" s="102">
        <f t="shared" si="242"/>
        <v>99.36727228799998</v>
      </c>
      <c r="N357" s="102">
        <f t="shared" si="242"/>
        <v>101.35461773376008</v>
      </c>
      <c r="O357" s="102">
        <f t="shared" si="242"/>
        <v>103.38171008843511</v>
      </c>
      <c r="P357" s="102">
        <f t="shared" si="242"/>
        <v>105.44934429020384</v>
      </c>
      <c r="Q357" s="162">
        <f>P357*(1+O$5)+P357*(1+O$5)*(1+O$5)/(P361-O$5)</f>
        <v>1936.0499611681423</v>
      </c>
    </row>
    <row r="358" spans="1:17" s="69" customFormat="1" ht="12.75" customHeight="1" hidden="1">
      <c r="A358" s="55"/>
      <c r="C358" s="21" t="s">
        <v>43</v>
      </c>
      <c r="D358" s="86"/>
      <c r="E358" s="87">
        <f aca="true" t="shared" si="243" ref="E358:Q358">E357*E356</f>
        <v>111.1111111111111</v>
      </c>
      <c r="F358" s="87">
        <f t="shared" si="243"/>
        <v>102.88065843621398</v>
      </c>
      <c r="G358" s="94">
        <f t="shared" si="243"/>
        <v>95.25986892242034</v>
      </c>
      <c r="H358" s="87">
        <f t="shared" si="243"/>
        <v>66.15268675168079</v>
      </c>
      <c r="I358" s="87">
        <f t="shared" si="243"/>
        <v>62.47753748769843</v>
      </c>
      <c r="J358" s="87">
        <f t="shared" si="243"/>
        <v>59.00656318282639</v>
      </c>
      <c r="K358" s="87">
        <f t="shared" si="243"/>
        <v>55.728420783780415</v>
      </c>
      <c r="L358" s="87">
        <f t="shared" si="243"/>
        <v>52.63239740690378</v>
      </c>
      <c r="M358" s="94">
        <f t="shared" si="243"/>
        <v>49.70837532874242</v>
      </c>
      <c r="N358" s="87">
        <f t="shared" si="243"/>
        <v>46.94679892159011</v>
      </c>
      <c r="O358" s="87">
        <f t="shared" si="243"/>
        <v>44.33864342594614</v>
      </c>
      <c r="P358" s="87">
        <f t="shared" si="243"/>
        <v>41.87538545783802</v>
      </c>
      <c r="Q358" s="87">
        <f t="shared" si="243"/>
        <v>711.8815527832463</v>
      </c>
    </row>
    <row r="359" spans="1:17" ht="12.75" customHeight="1" thickBot="1">
      <c r="A359" s="64"/>
      <c r="B359" s="65"/>
      <c r="C359" s="119" t="s">
        <v>44</v>
      </c>
      <c r="D359" s="79">
        <f>SUM(E358:$Q358)/D356</f>
        <v>1499.9999999999982</v>
      </c>
      <c r="E359" s="79">
        <f>SUM(F358:$Q358)/E356</f>
        <v>1499.9999999999982</v>
      </c>
      <c r="F359" s="79">
        <f>SUM(G358:$Q358)/F356</f>
        <v>1499.9999999999982</v>
      </c>
      <c r="G359" s="95">
        <f>SUM(H358:$Q358)/G356</f>
        <v>1499.9999999999982</v>
      </c>
      <c r="H359" s="79">
        <f>SUM(I358:$Q358)/H356</f>
        <v>1529.9999999999984</v>
      </c>
      <c r="I359" s="79">
        <f>SUM(J358:$Q358)/I356</f>
        <v>1560.5999999999983</v>
      </c>
      <c r="J359" s="79">
        <f>SUM(K358:$Q358)/J356</f>
        <v>1591.811999999998</v>
      </c>
      <c r="K359" s="79">
        <f>SUM(L358:$Q358)/K356</f>
        <v>1623.6482399999982</v>
      </c>
      <c r="L359" s="79">
        <f>SUM(M358:$Q358)/L356</f>
        <v>1656.1212047999982</v>
      </c>
      <c r="M359" s="95">
        <f>SUM(N358:$Q358)/M356</f>
        <v>1689.2436288959984</v>
      </c>
      <c r="N359" s="79">
        <f>SUM(O358:$Q358)/N356</f>
        <v>1723.0285014739184</v>
      </c>
      <c r="O359" s="79">
        <f>SUM(P358:$Q358)/O356</f>
        <v>1757.4890715033969</v>
      </c>
      <c r="P359" s="79">
        <f>SUM(Q358:$Q358)/P356</f>
        <v>1792.638852933465</v>
      </c>
      <c r="Q359" s="67"/>
    </row>
    <row r="360" spans="1:17" ht="12" customHeight="1">
      <c r="A360" s="16"/>
      <c r="C360" s="7" t="s">
        <v>4</v>
      </c>
      <c r="D360" s="51">
        <f>$D$4</f>
        <v>0.08</v>
      </c>
      <c r="E360" s="139">
        <f aca="true" t="shared" si="244" ref="E360:Q360">D360</f>
        <v>0.08</v>
      </c>
      <c r="F360" s="139">
        <f t="shared" si="244"/>
        <v>0.08</v>
      </c>
      <c r="G360" s="140">
        <f t="shared" si="244"/>
        <v>0.08</v>
      </c>
      <c r="H360" s="139">
        <f t="shared" si="244"/>
        <v>0.08</v>
      </c>
      <c r="I360" s="139">
        <f t="shared" si="244"/>
        <v>0.08</v>
      </c>
      <c r="J360" s="139">
        <f t="shared" si="244"/>
        <v>0.08</v>
      </c>
      <c r="K360" s="139">
        <f t="shared" si="244"/>
        <v>0.08</v>
      </c>
      <c r="L360" s="139">
        <f t="shared" si="244"/>
        <v>0.08</v>
      </c>
      <c r="M360" s="140">
        <f t="shared" si="244"/>
        <v>0.08</v>
      </c>
      <c r="N360" s="139">
        <f t="shared" si="244"/>
        <v>0.08</v>
      </c>
      <c r="O360" s="139">
        <f t="shared" si="244"/>
        <v>0.08</v>
      </c>
      <c r="P360" s="139">
        <f t="shared" si="244"/>
        <v>0.08</v>
      </c>
      <c r="Q360" s="139">
        <f t="shared" si="244"/>
        <v>0.08</v>
      </c>
    </row>
    <row r="361" spans="1:41" s="107" customFormat="1" ht="12" customHeight="1">
      <c r="A361" s="16"/>
      <c r="C361" s="107" t="s">
        <v>5</v>
      </c>
      <c r="D361" s="51">
        <f>$D$5</f>
        <v>0.08</v>
      </c>
      <c r="E361" s="51">
        <f aca="true" t="shared" si="245" ref="E361:Q361">D361</f>
        <v>0.08</v>
      </c>
      <c r="F361" s="51">
        <f t="shared" si="245"/>
        <v>0.08</v>
      </c>
      <c r="G361" s="50">
        <f t="shared" si="245"/>
        <v>0.08</v>
      </c>
      <c r="H361" s="51">
        <f t="shared" si="245"/>
        <v>0.08</v>
      </c>
      <c r="I361" s="51">
        <f t="shared" si="245"/>
        <v>0.08</v>
      </c>
      <c r="J361" s="51">
        <f t="shared" si="245"/>
        <v>0.08</v>
      </c>
      <c r="K361" s="51">
        <f t="shared" si="245"/>
        <v>0.08</v>
      </c>
      <c r="L361" s="51">
        <f t="shared" si="245"/>
        <v>0.08</v>
      </c>
      <c r="M361" s="50">
        <f t="shared" si="245"/>
        <v>0.08</v>
      </c>
      <c r="N361" s="51">
        <f t="shared" si="245"/>
        <v>0.08</v>
      </c>
      <c r="O361" s="51">
        <f t="shared" si="245"/>
        <v>0.08</v>
      </c>
      <c r="P361" s="51">
        <f t="shared" si="245"/>
        <v>0.08</v>
      </c>
      <c r="Q361" s="51">
        <f t="shared" si="245"/>
        <v>0.08</v>
      </c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106"/>
      <c r="AJ361" s="106"/>
      <c r="AK361" s="106"/>
      <c r="AL361" s="106"/>
      <c r="AM361" s="106"/>
      <c r="AN361" s="106"/>
      <c r="AO361" s="106"/>
    </row>
    <row r="362" spans="1:41" s="42" customFormat="1" ht="12" customHeight="1">
      <c r="A362" s="45"/>
      <c r="C362" s="42" t="s">
        <v>45</v>
      </c>
      <c r="D362" s="81">
        <f aca="true" t="shared" si="246" ref="D362:Q362">(D361-D346)/D347</f>
        <v>0.5000000000000001</v>
      </c>
      <c r="E362" s="81">
        <f t="shared" si="246"/>
        <v>0.5000000000000001</v>
      </c>
      <c r="F362" s="81">
        <f t="shared" si="246"/>
        <v>0.5000000000000001</v>
      </c>
      <c r="G362" s="144">
        <f t="shared" si="246"/>
        <v>0.5000000000000001</v>
      </c>
      <c r="H362" s="81">
        <f t="shared" si="246"/>
        <v>0.5000000000000001</v>
      </c>
      <c r="I362" s="81">
        <f t="shared" si="246"/>
        <v>0.5000000000000001</v>
      </c>
      <c r="J362" s="82">
        <f t="shared" si="246"/>
        <v>0.5000000000000001</v>
      </c>
      <c r="K362" s="82">
        <f t="shared" si="246"/>
        <v>0.5000000000000001</v>
      </c>
      <c r="L362" s="82">
        <f t="shared" si="246"/>
        <v>0.5000000000000001</v>
      </c>
      <c r="M362" s="83">
        <f t="shared" si="246"/>
        <v>0.5000000000000001</v>
      </c>
      <c r="N362" s="82">
        <f t="shared" si="246"/>
        <v>0.5000000000000001</v>
      </c>
      <c r="O362" s="82">
        <f t="shared" si="246"/>
        <v>0.5000000000000001</v>
      </c>
      <c r="P362" s="82">
        <f t="shared" si="246"/>
        <v>0.5000000000000001</v>
      </c>
      <c r="Q362" s="84">
        <f t="shared" si="246"/>
        <v>0.5000000000000001</v>
      </c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</row>
    <row r="363" spans="1:17" ht="13.5" customHeight="1">
      <c r="A363" s="16"/>
      <c r="D363"/>
      <c r="E363" s="43"/>
      <c r="F363" s="43"/>
      <c r="G363" s="143"/>
      <c r="H363" s="43"/>
      <c r="I363" s="43"/>
      <c r="J363" s="2"/>
      <c r="K363" s="2"/>
      <c r="L363" s="2"/>
      <c r="M363" s="8"/>
      <c r="N363" s="2"/>
      <c r="O363" s="2"/>
      <c r="P363" s="2"/>
      <c r="Q363" s="2"/>
    </row>
    <row r="364" spans="1:17" ht="13.5" customHeight="1" hidden="1">
      <c r="A364" s="16"/>
      <c r="C364" s="158" t="s">
        <v>108</v>
      </c>
      <c r="D364" s="43"/>
      <c r="E364" s="43">
        <f aca="true" t="shared" si="247" ref="E364:P364">D359*D361*$H$3</f>
        <v>41.99999999999995</v>
      </c>
      <c r="F364" s="43">
        <f t="shared" si="247"/>
        <v>41.99999999999995</v>
      </c>
      <c r="G364" s="43">
        <f t="shared" si="247"/>
        <v>41.99999999999995</v>
      </c>
      <c r="H364" s="43">
        <f t="shared" si="247"/>
        <v>41.99999999999995</v>
      </c>
      <c r="I364" s="43">
        <f t="shared" si="247"/>
        <v>42.839999999999954</v>
      </c>
      <c r="J364" s="43">
        <f t="shared" si="247"/>
        <v>43.69679999999995</v>
      </c>
      <c r="K364" s="43">
        <f t="shared" si="247"/>
        <v>44.57073599999994</v>
      </c>
      <c r="L364" s="43">
        <f t="shared" si="247"/>
        <v>45.46215071999995</v>
      </c>
      <c r="M364" s="43">
        <f t="shared" si="247"/>
        <v>46.371393734399945</v>
      </c>
      <c r="N364" s="43">
        <f t="shared" si="247"/>
        <v>47.29882160908795</v>
      </c>
      <c r="O364" s="43">
        <f t="shared" si="247"/>
        <v>48.24479804126971</v>
      </c>
      <c r="P364" s="43">
        <f t="shared" si="247"/>
        <v>49.20969400209511</v>
      </c>
      <c r="Q364" s="162">
        <f>P364*(1+O$5)+P364*(1+O$5)*(1+O$5)/(P348-O$5)</f>
        <v>690.1659583793839</v>
      </c>
    </row>
    <row r="365" spans="3:17" ht="13.5" customHeight="1" hidden="1">
      <c r="C365" s="21" t="s">
        <v>47</v>
      </c>
      <c r="E365" s="5">
        <f>E349*E364</f>
        <v>38.18181818181814</v>
      </c>
      <c r="F365" s="5">
        <f aca="true" t="shared" si="248" ref="F365:Q365">F349*F364</f>
        <v>34.710743801652846</v>
      </c>
      <c r="G365" s="93">
        <f t="shared" si="248"/>
        <v>31.555221637866225</v>
      </c>
      <c r="H365" s="5">
        <f t="shared" si="248"/>
        <v>28.68656512533293</v>
      </c>
      <c r="I365" s="5">
        <f t="shared" si="248"/>
        <v>26.60026947985417</v>
      </c>
      <c r="J365" s="5">
        <f t="shared" si="248"/>
        <v>24.66570442677386</v>
      </c>
      <c r="K365" s="5">
        <f t="shared" si="248"/>
        <v>22.871835013917572</v>
      </c>
      <c r="L365" s="5">
        <f t="shared" si="248"/>
        <v>21.208428831087208</v>
      </c>
      <c r="M365" s="93">
        <f t="shared" si="248"/>
        <v>19.66599764337177</v>
      </c>
      <c r="N365" s="5">
        <f t="shared" si="248"/>
        <v>18.235743269308372</v>
      </c>
      <c r="O365" s="5">
        <f t="shared" si="248"/>
        <v>16.90950739517685</v>
      </c>
      <c r="P365" s="5">
        <f t="shared" si="248"/>
        <v>15.679725039163989</v>
      </c>
      <c r="Q365" s="5">
        <f t="shared" si="248"/>
        <v>199.91649424934084</v>
      </c>
    </row>
    <row r="366" spans="1:17" ht="13.5" customHeight="1">
      <c r="A366" s="16"/>
      <c r="C366" s="158" t="s">
        <v>109</v>
      </c>
      <c r="D366" s="70">
        <f>SUM(E365:$Q365)/D349</f>
        <v>498.88805409466477</v>
      </c>
      <c r="E366" s="70">
        <f>SUM(F365:$Q365)/E349</f>
        <v>506.7768595041313</v>
      </c>
      <c r="F366" s="70">
        <f>SUM(G365:$Q365)/F349</f>
        <v>515.4545454545446</v>
      </c>
      <c r="G366" s="29">
        <f>SUM(H365:$Q365)/G349</f>
        <v>524.9999999999991</v>
      </c>
      <c r="H366" s="70">
        <f>SUM(I365:$Q365)/H349</f>
        <v>535.4999999999991</v>
      </c>
      <c r="I366" s="70">
        <f>SUM(J365:$Q365)/I349</f>
        <v>546.2099999999991</v>
      </c>
      <c r="J366" s="70">
        <f>SUM(K365:$Q365)/J349</f>
        <v>557.1341999999992</v>
      </c>
      <c r="K366" s="70">
        <f>SUM(L365:$Q365)/K349</f>
        <v>568.2768839999991</v>
      </c>
      <c r="L366" s="70">
        <f>SUM(M365:$Q365)/L349</f>
        <v>579.6424216799992</v>
      </c>
      <c r="M366" s="29">
        <f>SUM(N365:$Q365)/M349</f>
        <v>591.2352701135992</v>
      </c>
      <c r="N366" s="70">
        <f>SUM(O365:$Q365)/N349</f>
        <v>603.0599755158712</v>
      </c>
      <c r="O366" s="70">
        <f>SUM(P365:$Q365)/O349</f>
        <v>615.1211750261888</v>
      </c>
      <c r="P366" s="70">
        <f>SUM(Q365:$Q365)/P349</f>
        <v>627.4235985267127</v>
      </c>
      <c r="Q366" s="70">
        <f>SUM($Q365:R365)/Q349</f>
        <v>690.1659583793839</v>
      </c>
    </row>
    <row r="367" spans="1:17" ht="12" customHeight="1">
      <c r="A367" s="16"/>
      <c r="C367" s="21" t="s">
        <v>103</v>
      </c>
      <c r="D367" s="1">
        <f aca="true" t="shared" si="249" ref="D367:P367">D366+D352</f>
        <v>5334.241172051083</v>
      </c>
      <c r="E367" s="1">
        <f t="shared" si="249"/>
        <v>5582.665289256191</v>
      </c>
      <c r="F367" s="1">
        <f t="shared" si="249"/>
        <v>5991.931818181811</v>
      </c>
      <c r="G367" s="29">
        <f t="shared" si="249"/>
        <v>6133.124999999992</v>
      </c>
      <c r="H367" s="1">
        <f t="shared" si="249"/>
        <v>6255.787499999991</v>
      </c>
      <c r="I367" s="1">
        <f t="shared" si="249"/>
        <v>6380.903249999992</v>
      </c>
      <c r="J367" s="1">
        <f t="shared" si="249"/>
        <v>6508.521314999992</v>
      </c>
      <c r="K367" s="1">
        <f t="shared" si="249"/>
        <v>6638.691741299991</v>
      </c>
      <c r="L367" s="1">
        <f t="shared" si="249"/>
        <v>6771.465576125991</v>
      </c>
      <c r="M367" s="29">
        <f t="shared" si="249"/>
        <v>6906.89488764851</v>
      </c>
      <c r="N367" s="1">
        <f t="shared" si="249"/>
        <v>7045.032785401482</v>
      </c>
      <c r="O367" s="1">
        <f t="shared" si="249"/>
        <v>7185.9334411095115</v>
      </c>
      <c r="P367" s="1">
        <f t="shared" si="249"/>
        <v>7329.652109931702</v>
      </c>
      <c r="Q367" s="1"/>
    </row>
    <row r="368" spans="1:41" s="65" customFormat="1" ht="12" customHeight="1" thickBot="1">
      <c r="A368" s="64"/>
      <c r="B368" s="65" t="s">
        <v>48</v>
      </c>
      <c r="C368" s="77" t="s">
        <v>49</v>
      </c>
      <c r="D368" s="112">
        <f aca="true" t="shared" si="250" ref="D368:P368">D367-D359</f>
        <v>3834.2411720510845</v>
      </c>
      <c r="E368" s="79">
        <f t="shared" si="250"/>
        <v>4082.6652892561924</v>
      </c>
      <c r="F368" s="79">
        <f t="shared" si="250"/>
        <v>4491.931818181813</v>
      </c>
      <c r="G368" s="95">
        <f t="shared" si="250"/>
        <v>4633.124999999994</v>
      </c>
      <c r="H368" s="79">
        <f t="shared" si="250"/>
        <v>4725.787499999993</v>
      </c>
      <c r="I368" s="79">
        <f t="shared" si="250"/>
        <v>4820.303249999994</v>
      </c>
      <c r="J368" s="79">
        <f t="shared" si="250"/>
        <v>4916.709314999994</v>
      </c>
      <c r="K368" s="79">
        <f t="shared" si="250"/>
        <v>5015.043501299993</v>
      </c>
      <c r="L368" s="79">
        <f t="shared" si="250"/>
        <v>5115.344371325993</v>
      </c>
      <c r="M368" s="95">
        <f t="shared" si="250"/>
        <v>5217.651258752512</v>
      </c>
      <c r="N368" s="79">
        <f t="shared" si="250"/>
        <v>5322.004283927564</v>
      </c>
      <c r="O368" s="79">
        <f t="shared" si="250"/>
        <v>5428.444369606114</v>
      </c>
      <c r="P368" s="79">
        <f t="shared" si="250"/>
        <v>5537.013256998238</v>
      </c>
      <c r="Q368" s="7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</row>
    <row r="369" spans="1:17" ht="10.5" hidden="1">
      <c r="A369" s="16"/>
      <c r="C369" s="6" t="s">
        <v>50</v>
      </c>
      <c r="D369" s="6"/>
      <c r="E369" s="44">
        <f aca="true" t="shared" si="251" ref="E369:Q369">E368/D368-1</f>
        <v>0.0647909471673156</v>
      </c>
      <c r="F369" s="44">
        <f t="shared" si="251"/>
        <v>0.10024493803169032</v>
      </c>
      <c r="G369" s="30">
        <f t="shared" si="251"/>
        <v>0.03143261908978201</v>
      </c>
      <c r="H369" s="44">
        <f t="shared" si="251"/>
        <v>0.020000000000000018</v>
      </c>
      <c r="I369" s="44">
        <f t="shared" si="251"/>
        <v>0.02000000000000024</v>
      </c>
      <c r="J369" s="44">
        <f t="shared" si="251"/>
        <v>0.020000000000000018</v>
      </c>
      <c r="K369" s="44">
        <f t="shared" si="251"/>
        <v>0.020000000000000018</v>
      </c>
      <c r="L369" s="44">
        <f t="shared" si="251"/>
        <v>0.020000000000000018</v>
      </c>
      <c r="M369" s="30">
        <f t="shared" si="251"/>
        <v>0.019999999999999796</v>
      </c>
      <c r="N369" s="44">
        <f t="shared" si="251"/>
        <v>0.02000000000000024</v>
      </c>
      <c r="O369" s="44">
        <f t="shared" si="251"/>
        <v>0.019999999999999796</v>
      </c>
      <c r="P369" s="44">
        <f t="shared" si="251"/>
        <v>0.02000000000000024</v>
      </c>
      <c r="Q369" s="44">
        <f t="shared" si="251"/>
        <v>-1</v>
      </c>
    </row>
    <row r="370" spans="1:17" ht="9" customHeight="1">
      <c r="A370" s="16"/>
      <c r="C370" s="6"/>
      <c r="D370" s="6"/>
      <c r="E370" s="6"/>
      <c r="F370" s="6"/>
      <c r="G370" s="145"/>
      <c r="H370" s="6"/>
      <c r="I370" s="6"/>
      <c r="J370" s="6"/>
      <c r="K370" s="6"/>
      <c r="L370" s="6"/>
      <c r="M370" s="30"/>
      <c r="N370" s="6"/>
      <c r="O370" s="6"/>
      <c r="P370" s="6"/>
      <c r="Q370" s="44"/>
    </row>
    <row r="371" spans="1:17" ht="12.75" customHeight="1">
      <c r="A371" s="16"/>
      <c r="C371" s="4" t="s">
        <v>51</v>
      </c>
      <c r="D371" s="12">
        <f aca="true" t="shared" si="252" ref="D371:P371">D345+(D359/D368)*(D345-D362)</f>
        <v>1.195605849070468</v>
      </c>
      <c r="E371" s="12">
        <f t="shared" si="252"/>
        <v>1.1837035237675924</v>
      </c>
      <c r="F371" s="12">
        <f t="shared" si="252"/>
        <v>1.1669660249437122</v>
      </c>
      <c r="G371" s="12">
        <f t="shared" si="252"/>
        <v>1.1618777822743829</v>
      </c>
      <c r="H371" s="12">
        <f t="shared" si="252"/>
        <v>1.1618777822743829</v>
      </c>
      <c r="I371" s="12">
        <f t="shared" si="252"/>
        <v>1.1618777822743829</v>
      </c>
      <c r="J371" s="12">
        <f t="shared" si="252"/>
        <v>1.1618777822743829</v>
      </c>
      <c r="K371" s="12">
        <f t="shared" si="252"/>
        <v>1.1618777822743829</v>
      </c>
      <c r="L371" s="12">
        <f t="shared" si="252"/>
        <v>1.1618777822743829</v>
      </c>
      <c r="M371" s="12">
        <f t="shared" si="252"/>
        <v>1.1618777822743829</v>
      </c>
      <c r="N371" s="12">
        <f t="shared" si="252"/>
        <v>1.1618777822743829</v>
      </c>
      <c r="O371" s="12">
        <f t="shared" si="252"/>
        <v>1.1618777822743829</v>
      </c>
      <c r="P371" s="12">
        <f t="shared" si="252"/>
        <v>1.1618777822743829</v>
      </c>
      <c r="Q371" s="12"/>
    </row>
    <row r="372" spans="1:41" s="7" customFormat="1" ht="12.75" customHeight="1">
      <c r="A372" s="16"/>
      <c r="C372" s="7" t="s">
        <v>52</v>
      </c>
      <c r="D372" s="51">
        <f>D346+D347*D371</f>
        <v>0.10782423396281872</v>
      </c>
      <c r="E372" s="51">
        <f>E346+E347*E371</f>
        <v>0.10734814095070369</v>
      </c>
      <c r="F372" s="51">
        <f aca="true" t="shared" si="253" ref="F372:P372">F346+F347*F371</f>
        <v>0.10667864099774849</v>
      </c>
      <c r="G372" s="50">
        <f t="shared" si="253"/>
        <v>0.10647511129097531</v>
      </c>
      <c r="H372" s="51">
        <f t="shared" si="253"/>
        <v>0.10647511129097531</v>
      </c>
      <c r="I372" s="51">
        <f t="shared" si="253"/>
        <v>0.10647511129097531</v>
      </c>
      <c r="J372" s="51">
        <f t="shared" si="253"/>
        <v>0.10647511129097531</v>
      </c>
      <c r="K372" s="51">
        <f t="shared" si="253"/>
        <v>0.10647511129097531</v>
      </c>
      <c r="L372" s="51">
        <f t="shared" si="253"/>
        <v>0.10647511129097531</v>
      </c>
      <c r="M372" s="50">
        <f t="shared" si="253"/>
        <v>0.10647511129097531</v>
      </c>
      <c r="N372" s="51">
        <f t="shared" si="253"/>
        <v>0.10647511129097531</v>
      </c>
      <c r="O372" s="51">
        <f t="shared" si="253"/>
        <v>0.10647511129097531</v>
      </c>
      <c r="P372" s="51">
        <f t="shared" si="253"/>
        <v>0.10647511129097531</v>
      </c>
      <c r="Q372" s="51">
        <f>P372</f>
        <v>0.10647511129097531</v>
      </c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</row>
    <row r="373" spans="1:17" ht="12.75" customHeight="1">
      <c r="A373" s="16"/>
      <c r="C373" s="21" t="s">
        <v>53</v>
      </c>
      <c r="D373" s="12">
        <v>1</v>
      </c>
      <c r="E373" s="12">
        <f>1/(1+D372)</f>
        <v>0.9026702696535905</v>
      </c>
      <c r="F373" s="46">
        <f aca="true" t="shared" si="254" ref="F373:Q373">E373/(1+E372)</f>
        <v>0.815163936500233</v>
      </c>
      <c r="G373" s="96">
        <f t="shared" si="254"/>
        <v>0.7365859485327244</v>
      </c>
      <c r="H373" s="46">
        <f t="shared" si="254"/>
        <v>0.6657049408669625</v>
      </c>
      <c r="I373" s="46">
        <f t="shared" si="254"/>
        <v>0.6016447492345798</v>
      </c>
      <c r="J373" s="46">
        <f t="shared" si="254"/>
        <v>0.5437490126032869</v>
      </c>
      <c r="K373" s="46">
        <f t="shared" si="254"/>
        <v>0.4914245309764537</v>
      </c>
      <c r="L373" s="46">
        <f t="shared" si="254"/>
        <v>0.4441351874630837</v>
      </c>
      <c r="M373" s="96">
        <f t="shared" si="254"/>
        <v>0.4013964552215647</v>
      </c>
      <c r="N373" s="46">
        <f t="shared" si="254"/>
        <v>0.3627704329953134</v>
      </c>
      <c r="O373" s="46">
        <f t="shared" si="254"/>
        <v>0.32786135837438996</v>
      </c>
      <c r="P373" s="46">
        <f t="shared" si="254"/>
        <v>0.2963115528119373</v>
      </c>
      <c r="Q373" s="46">
        <f t="shared" si="254"/>
        <v>0.26779775684806595</v>
      </c>
    </row>
    <row r="374" spans="1:17" ht="12.75" customHeight="1">
      <c r="A374" s="16"/>
      <c r="B374" s="42"/>
      <c r="C374" s="42" t="s">
        <v>122</v>
      </c>
      <c r="D374" s="42"/>
      <c r="E374" s="23">
        <f>E$40</f>
        <v>165</v>
      </c>
      <c r="F374" s="23">
        <f aca="true" t="shared" si="255" ref="F374:P374">F$40</f>
        <v>29</v>
      </c>
      <c r="G374" s="23">
        <f t="shared" si="255"/>
        <v>338</v>
      </c>
      <c r="H374" s="23">
        <f t="shared" si="255"/>
        <v>400.6500000000001</v>
      </c>
      <c r="I374" s="23">
        <f t="shared" si="255"/>
        <v>408.663</v>
      </c>
      <c r="J374" s="23">
        <f t="shared" si="255"/>
        <v>416.83626000000015</v>
      </c>
      <c r="K374" s="23">
        <f t="shared" si="255"/>
        <v>425.17298519999997</v>
      </c>
      <c r="L374" s="23">
        <f t="shared" si="255"/>
        <v>433.6764449039996</v>
      </c>
      <c r="M374" s="23">
        <f t="shared" si="255"/>
        <v>442.3499738020803</v>
      </c>
      <c r="N374" s="23">
        <f t="shared" si="255"/>
        <v>451.19697327812173</v>
      </c>
      <c r="O374" s="23">
        <f t="shared" si="255"/>
        <v>460.2209127436847</v>
      </c>
      <c r="P374" s="23">
        <f t="shared" si="255"/>
        <v>469.42533099855723</v>
      </c>
      <c r="Q374" s="1">
        <f>P374*(1+O$5)+P374*(1+O$5)*(1+O$5)/(P372-O$5)</f>
        <v>6126.567359756733</v>
      </c>
    </row>
    <row r="375" spans="1:41" s="134" customFormat="1" ht="12.75" customHeight="1">
      <c r="A375" s="133"/>
      <c r="C375" s="135" t="s">
        <v>54</v>
      </c>
      <c r="D375" s="136"/>
      <c r="E375" s="136">
        <f>E374*E373</f>
        <v>148.94059449284245</v>
      </c>
      <c r="F375" s="136">
        <f>F374*F373</f>
        <v>23.639754158506758</v>
      </c>
      <c r="G375" s="137">
        <f aca="true" t="shared" si="256" ref="G375:Q375">G374*G373</f>
        <v>248.96605060406085</v>
      </c>
      <c r="H375" s="136">
        <f t="shared" si="256"/>
        <v>266.7146845583486</v>
      </c>
      <c r="I375" s="136">
        <f t="shared" si="256"/>
        <v>245.86994815645107</v>
      </c>
      <c r="J375" s="136">
        <f t="shared" si="256"/>
        <v>226.65430479224705</v>
      </c>
      <c r="K375" s="136">
        <f t="shared" si="256"/>
        <v>208.94043483576868</v>
      </c>
      <c r="L375" s="136">
        <f t="shared" si="256"/>
        <v>192.61096915576155</v>
      </c>
      <c r="M375" s="137">
        <f t="shared" si="256"/>
        <v>177.55771145150703</v>
      </c>
      <c r="N375" s="136">
        <f t="shared" si="256"/>
        <v>163.68092136227907</v>
      </c>
      <c r="O375" s="136">
        <f t="shared" si="256"/>
        <v>150.88865360444606</v>
      </c>
      <c r="P375" s="136">
        <f t="shared" si="256"/>
        <v>139.09614875744012</v>
      </c>
      <c r="Q375" s="136">
        <f t="shared" si="256"/>
        <v>1640.680996121431</v>
      </c>
      <c r="R375" s="138"/>
      <c r="S375" s="138"/>
      <c r="T375" s="138"/>
      <c r="U375" s="138"/>
      <c r="V375" s="138"/>
      <c r="W375" s="138"/>
      <c r="X375" s="138"/>
      <c r="Y375" s="138"/>
      <c r="Z375" s="138"/>
      <c r="AA375" s="138"/>
      <c r="AB375" s="138"/>
      <c r="AC375" s="138"/>
      <c r="AD375" s="138"/>
      <c r="AE375" s="138"/>
      <c r="AF375" s="138"/>
      <c r="AG375" s="138"/>
      <c r="AH375" s="138"/>
      <c r="AI375" s="138"/>
      <c r="AJ375" s="138"/>
      <c r="AK375" s="138"/>
      <c r="AL375" s="138"/>
      <c r="AM375" s="138"/>
      <c r="AN375" s="138"/>
      <c r="AO375" s="138"/>
    </row>
    <row r="376" spans="1:41" s="65" customFormat="1" ht="12.75" customHeight="1" thickBot="1">
      <c r="A376" s="64"/>
      <c r="C376" s="66" t="s">
        <v>55</v>
      </c>
      <c r="D376" s="79">
        <f>SUM(E375:$Q375)/D373</f>
        <v>3834.24117205109</v>
      </c>
      <c r="E376" s="79">
        <f>SUM(F375:$Q375)/E373</f>
        <v>4082.6652892561997</v>
      </c>
      <c r="F376" s="79">
        <f>SUM(G375:$Q375)/F373</f>
        <v>4491.93181818182</v>
      </c>
      <c r="G376" s="95">
        <f>SUM(H375:$Q375)/G373</f>
        <v>4633.125000000002</v>
      </c>
      <c r="H376" s="79">
        <f>SUM(I375:$Q375)/H373</f>
        <v>4725.787500000002</v>
      </c>
      <c r="I376" s="79">
        <f>SUM(J375:$Q375)/I373</f>
        <v>4820.303250000001</v>
      </c>
      <c r="J376" s="79">
        <f>SUM(K375:$Q375)/J373</f>
        <v>4916.709315</v>
      </c>
      <c r="K376" s="79">
        <f>SUM(L375:$Q375)/K373</f>
        <v>5015.043501300001</v>
      </c>
      <c r="L376" s="79">
        <f>SUM(M375:$Q375)/L373</f>
        <v>5115.344371326</v>
      </c>
      <c r="M376" s="95">
        <f>SUM(N375:$Q375)/M373</f>
        <v>5217.651258752519</v>
      </c>
      <c r="N376" s="79">
        <f>SUM(O375:$Q375)/N373</f>
        <v>5322.004283927569</v>
      </c>
      <c r="O376" s="79">
        <f>SUM(P375:$Q375)/O373</f>
        <v>5428.444369606119</v>
      </c>
      <c r="P376" s="79">
        <f>SUM(Q375:$Q375)/P373</f>
        <v>5537.013256998241</v>
      </c>
      <c r="Q376" s="7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</row>
    <row r="377" spans="1:17" ht="12" customHeight="1">
      <c r="A377" s="16"/>
      <c r="C377" s="89" t="s">
        <v>56</v>
      </c>
      <c r="D377" s="68">
        <f>D376</f>
        <v>3834.24117205109</v>
      </c>
      <c r="E377" s="68">
        <f aca="true" t="shared" si="257" ref="E377:P377">D377*(1+D372)-E374</f>
        <v>4082.6652892561997</v>
      </c>
      <c r="F377" s="68">
        <f t="shared" si="257"/>
        <v>4491.93181818182</v>
      </c>
      <c r="G377" s="100">
        <f t="shared" si="257"/>
        <v>4633.125000000002</v>
      </c>
      <c r="H377" s="68">
        <f t="shared" si="257"/>
        <v>4725.787500000002</v>
      </c>
      <c r="I377" s="68">
        <f t="shared" si="257"/>
        <v>4820.303250000003</v>
      </c>
      <c r="J377" s="68">
        <f t="shared" si="257"/>
        <v>4916.709315000003</v>
      </c>
      <c r="K377" s="68">
        <f t="shared" si="257"/>
        <v>5015.043501300002</v>
      </c>
      <c r="L377" s="68">
        <f t="shared" si="257"/>
        <v>5115.344371326003</v>
      </c>
      <c r="M377" s="100">
        <f t="shared" si="257"/>
        <v>5217.651258752523</v>
      </c>
      <c r="N377" s="68">
        <f t="shared" si="257"/>
        <v>5322.004283927573</v>
      </c>
      <c r="O377" s="68">
        <f t="shared" si="257"/>
        <v>5428.4443696061235</v>
      </c>
      <c r="P377" s="68">
        <f t="shared" si="257"/>
        <v>5537.013256998246</v>
      </c>
      <c r="Q377" s="68"/>
    </row>
    <row r="378" spans="1:13" ht="9" customHeight="1">
      <c r="A378" s="16"/>
      <c r="D378" s="41"/>
      <c r="E378" s="5"/>
      <c r="M378" s="31"/>
    </row>
    <row r="379" spans="1:41" s="7" customFormat="1" ht="13.5" customHeight="1">
      <c r="A379" s="16"/>
      <c r="C379" s="7" t="s">
        <v>57</v>
      </c>
      <c r="D379" s="49">
        <f aca="true" t="shared" si="258" ref="D379:P379">(D377*D372+D359*D361-D355*D360*E$30)/(D377+D359)</f>
        <v>0.09212634025246923</v>
      </c>
      <c r="E379" s="49">
        <f t="shared" si="258"/>
        <v>0.09247671178122953</v>
      </c>
      <c r="F379" s="49">
        <f t="shared" si="258"/>
        <v>0.09299057444669917</v>
      </c>
      <c r="G379" s="49">
        <f t="shared" si="258"/>
        <v>0.09315194130235402</v>
      </c>
      <c r="H379" s="49">
        <f t="shared" si="258"/>
        <v>0.09315194130235403</v>
      </c>
      <c r="I379" s="49">
        <f t="shared" si="258"/>
        <v>0.09315194130235402</v>
      </c>
      <c r="J379" s="49">
        <f t="shared" si="258"/>
        <v>0.09315194130235402</v>
      </c>
      <c r="K379" s="49">
        <f t="shared" si="258"/>
        <v>0.09315194130235403</v>
      </c>
      <c r="L379" s="49">
        <f t="shared" si="258"/>
        <v>0.09315194130235403</v>
      </c>
      <c r="M379" s="49">
        <f t="shared" si="258"/>
        <v>0.09315194130235403</v>
      </c>
      <c r="N379" s="49">
        <f t="shared" si="258"/>
        <v>0.09315194130235403</v>
      </c>
      <c r="O379" s="49">
        <f t="shared" si="258"/>
        <v>0.09315194130235403</v>
      </c>
      <c r="P379" s="49">
        <f t="shared" si="258"/>
        <v>0.09315194130235402</v>
      </c>
      <c r="Q379" s="49">
        <f>P379</f>
        <v>0.09315194130235402</v>
      </c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</row>
    <row r="380" spans="1:17" ht="13.5" customHeight="1" hidden="1">
      <c r="A380" s="16"/>
      <c r="C380" s="21" t="s">
        <v>58</v>
      </c>
      <c r="D380" s="12">
        <v>1</v>
      </c>
      <c r="E380" s="12">
        <f>1/(1+D379)</f>
        <v>0.9156449791045492</v>
      </c>
      <c r="F380" s="12">
        <f aca="true" t="shared" si="259" ref="F380:Q380">E380/(1+E379)</f>
        <v>0.8381368401085961</v>
      </c>
      <c r="G380" s="98">
        <f t="shared" si="259"/>
        <v>0.7668289733723305</v>
      </c>
      <c r="H380" s="12">
        <f t="shared" si="259"/>
        <v>0.7014843448558025</v>
      </c>
      <c r="I380" s="12">
        <f t="shared" si="259"/>
        <v>0.6417079989997286</v>
      </c>
      <c r="J380" s="12">
        <f t="shared" si="259"/>
        <v>0.5870254396979927</v>
      </c>
      <c r="K380" s="12">
        <f t="shared" si="259"/>
        <v>0.5370026045955013</v>
      </c>
      <c r="L380" s="12">
        <f t="shared" si="259"/>
        <v>0.49124241956313025</v>
      </c>
      <c r="M380" s="98">
        <f t="shared" si="259"/>
        <v>0.4493816467799309</v>
      </c>
      <c r="N380" s="12">
        <f t="shared" si="259"/>
        <v>0.41108800140312496</v>
      </c>
      <c r="O380" s="12">
        <f t="shared" si="259"/>
        <v>0.37605751393842374</v>
      </c>
      <c r="P380" s="12">
        <f t="shared" si="259"/>
        <v>0.34401211737354476</v>
      </c>
      <c r="Q380" s="12">
        <f t="shared" si="259"/>
        <v>0.31469743992193555</v>
      </c>
    </row>
    <row r="381" spans="1:17" ht="13.5" customHeight="1" hidden="1">
      <c r="A381" s="45"/>
      <c r="B381" s="42"/>
      <c r="C381" s="42" t="s">
        <v>31</v>
      </c>
      <c r="D381" s="42"/>
      <c r="E381" s="23">
        <f>E$41</f>
        <v>243</v>
      </c>
      <c r="F381" s="23">
        <f aca="true" t="shared" si="260" ref="F381:P381">F$41</f>
        <v>107</v>
      </c>
      <c r="G381" s="23">
        <f t="shared" si="260"/>
        <v>416</v>
      </c>
      <c r="H381" s="23">
        <f t="shared" si="260"/>
        <v>448.6500000000001</v>
      </c>
      <c r="I381" s="23">
        <f t="shared" si="260"/>
        <v>457.6229999999999</v>
      </c>
      <c r="J381" s="23">
        <f t="shared" si="260"/>
        <v>466.7754600000002</v>
      </c>
      <c r="K381" s="23">
        <f t="shared" si="260"/>
        <v>476.1109691999999</v>
      </c>
      <c r="L381" s="23">
        <f t="shared" si="260"/>
        <v>485.63318858399964</v>
      </c>
      <c r="M381" s="23">
        <f t="shared" si="260"/>
        <v>495.3458523556802</v>
      </c>
      <c r="N381" s="23">
        <f t="shared" si="260"/>
        <v>505.2527694027938</v>
      </c>
      <c r="O381" s="23">
        <f t="shared" si="260"/>
        <v>515.35782479085</v>
      </c>
      <c r="P381" s="23">
        <f t="shared" si="260"/>
        <v>525.6649812866659</v>
      </c>
      <c r="Q381" s="1">
        <f>P381*(1+O$5)+P381*(1+O$5)*(1+O$5)/(P379-O$5)</f>
        <v>8012.423433042737</v>
      </c>
    </row>
    <row r="382" spans="1:17" ht="13.5" customHeight="1" hidden="1">
      <c r="A382" s="16"/>
      <c r="C382" s="21" t="s">
        <v>38</v>
      </c>
      <c r="D382" s="1"/>
      <c r="E382" s="1">
        <f aca="true" t="shared" si="261" ref="E382:Q382">E381*E380</f>
        <v>222.50172992240547</v>
      </c>
      <c r="F382" s="1">
        <f t="shared" si="261"/>
        <v>89.68064189161979</v>
      </c>
      <c r="G382" s="29">
        <f t="shared" si="261"/>
        <v>319.00085292288946</v>
      </c>
      <c r="H382" s="1">
        <f t="shared" si="261"/>
        <v>314.72095131955587</v>
      </c>
      <c r="I382" s="1">
        <f t="shared" si="261"/>
        <v>293.6603396262527</v>
      </c>
      <c r="J382" s="1">
        <f t="shared" si="261"/>
        <v>274.0090696467329</v>
      </c>
      <c r="K382" s="1">
        <f t="shared" si="261"/>
        <v>255.67283053688845</v>
      </c>
      <c r="L382" s="1">
        <f t="shared" si="261"/>
        <v>238.5636225801619</v>
      </c>
      <c r="M382" s="29">
        <f t="shared" si="261"/>
        <v>222.5993348572041</v>
      </c>
      <c r="N382" s="1">
        <f t="shared" si="261"/>
        <v>207.70335117718847</v>
      </c>
      <c r="O382" s="1">
        <f t="shared" si="261"/>
        <v>193.8041823795608</v>
      </c>
      <c r="P382" s="1">
        <f t="shared" si="261"/>
        <v>180.83512324155072</v>
      </c>
      <c r="Q382" s="1">
        <f t="shared" si="261"/>
        <v>2521.4891419490755</v>
      </c>
    </row>
    <row r="383" spans="1:17" ht="13.5" customHeight="1">
      <c r="A383" s="16"/>
      <c r="B383" s="4" t="s">
        <v>59</v>
      </c>
      <c r="C383" s="42" t="s">
        <v>60</v>
      </c>
      <c r="D383" s="18">
        <f>SUM(E382:$Q382)/D380</f>
        <v>5334.241172051086</v>
      </c>
      <c r="E383" s="18">
        <f>SUM(F382:$Q382)/E380</f>
        <v>5582.665289256195</v>
      </c>
      <c r="F383" s="18">
        <f>SUM(G382:$Q382)/F380</f>
        <v>5991.9318181818135</v>
      </c>
      <c r="G383" s="91">
        <f>SUM(H382:$Q382)/G380</f>
        <v>6133.124999999996</v>
      </c>
      <c r="H383" s="18">
        <f>SUM(I382:$Q382)/H380</f>
        <v>6255.787499999997</v>
      </c>
      <c r="I383" s="18">
        <f>SUM(J382:$Q382)/I380</f>
        <v>6380.903249999997</v>
      </c>
      <c r="J383" s="18">
        <f>SUM(K382:$Q382)/J380</f>
        <v>6508.521314999995</v>
      </c>
      <c r="K383" s="18">
        <f>SUM(L382:$Q382)/K380</f>
        <v>6638.691741299995</v>
      </c>
      <c r="L383" s="18">
        <f>SUM(M382:$Q382)/L380</f>
        <v>6771.465576125995</v>
      </c>
      <c r="M383" s="91">
        <f>SUM(N382:$Q382)/M380</f>
        <v>6906.894887648515</v>
      </c>
      <c r="N383" s="18">
        <f>SUM(O382:$Q382)/N380</f>
        <v>7045.032785401485</v>
      </c>
      <c r="O383" s="18">
        <f>SUM(P382:$Q382)/O380</f>
        <v>7185.933441109513</v>
      </c>
      <c r="P383" s="18">
        <f>SUM(Q382:$Q382)/P380</f>
        <v>7329.652109931704</v>
      </c>
      <c r="Q383" s="18"/>
    </row>
    <row r="384" spans="1:41" s="65" customFormat="1" ht="12.75" customHeight="1" thickBot="1">
      <c r="A384" s="64"/>
      <c r="B384" s="65" t="s">
        <v>48</v>
      </c>
      <c r="C384" s="77" t="s">
        <v>61</v>
      </c>
      <c r="D384" s="79">
        <f aca="true" t="shared" si="262" ref="D384:P384">D383-D359</f>
        <v>3834.241172051088</v>
      </c>
      <c r="E384" s="79">
        <f t="shared" si="262"/>
        <v>4082.665289256197</v>
      </c>
      <c r="F384" s="79">
        <f t="shared" si="262"/>
        <v>4491.931818181815</v>
      </c>
      <c r="G384" s="95">
        <f t="shared" si="262"/>
        <v>4633.124999999998</v>
      </c>
      <c r="H384" s="79">
        <f t="shared" si="262"/>
        <v>4725.7874999999985</v>
      </c>
      <c r="I384" s="79">
        <f t="shared" si="262"/>
        <v>4820.303249999998</v>
      </c>
      <c r="J384" s="79">
        <f t="shared" si="262"/>
        <v>4916.709314999997</v>
      </c>
      <c r="K384" s="79">
        <f t="shared" si="262"/>
        <v>5015.043501299997</v>
      </c>
      <c r="L384" s="79">
        <f t="shared" si="262"/>
        <v>5115.344371325997</v>
      </c>
      <c r="M384" s="95">
        <f t="shared" si="262"/>
        <v>5217.651258752516</v>
      </c>
      <c r="N384" s="79">
        <f t="shared" si="262"/>
        <v>5322.004283927567</v>
      </c>
      <c r="O384" s="79">
        <f t="shared" si="262"/>
        <v>5428.444369606116</v>
      </c>
      <c r="P384" s="79">
        <f t="shared" si="262"/>
        <v>5537.01325699824</v>
      </c>
      <c r="Q384" s="108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</row>
    <row r="385" spans="1:17" ht="12.75" customHeight="1">
      <c r="A385" s="16"/>
      <c r="C385" s="72" t="s">
        <v>62</v>
      </c>
      <c r="D385" s="70">
        <f>D383</f>
        <v>5334.241172051086</v>
      </c>
      <c r="E385" s="70">
        <f aca="true" t="shared" si="263" ref="E385:P385">D385*(1+D379)-E339</f>
        <v>5825.665289256195</v>
      </c>
      <c r="F385" s="70">
        <f t="shared" si="263"/>
        <v>6364.403659144653</v>
      </c>
      <c r="G385" s="29">
        <f t="shared" si="263"/>
        <v>6956.233211419189</v>
      </c>
      <c r="H385" s="70">
        <f t="shared" si="263"/>
        <v>7604.219839214795</v>
      </c>
      <c r="I385" s="70">
        <f t="shared" si="263"/>
        <v>8312.567679327527</v>
      </c>
      <c r="J385" s="70">
        <f t="shared" si="263"/>
        <v>9086.89949586409</v>
      </c>
      <c r="K385" s="70">
        <f t="shared" si="263"/>
        <v>9933.361824323212</v>
      </c>
      <c r="L385" s="70">
        <f t="shared" si="263"/>
        <v>10858.673761917613</v>
      </c>
      <c r="M385" s="29">
        <f t="shared" si="263"/>
        <v>11870.180302809174</v>
      </c>
      <c r="N385" s="70">
        <f t="shared" si="263"/>
        <v>12975.910641624814</v>
      </c>
      <c r="O385" s="70">
        <f t="shared" si="263"/>
        <v>14184.64190805804</v>
      </c>
      <c r="P385" s="70">
        <f t="shared" si="263"/>
        <v>15505.968838472374</v>
      </c>
      <c r="Q385" s="88"/>
    </row>
    <row r="386" spans="1:17" ht="6.75" customHeight="1">
      <c r="A386" s="16"/>
      <c r="C386" s="6"/>
      <c r="D386" s="6"/>
      <c r="E386" s="44"/>
      <c r="F386" s="44"/>
      <c r="G386" s="30"/>
      <c r="H386" s="44"/>
      <c r="I386" s="44"/>
      <c r="J386" s="44"/>
      <c r="K386" s="44"/>
      <c r="L386" s="44"/>
      <c r="M386" s="30"/>
      <c r="N386" s="44"/>
      <c r="O386" s="44"/>
      <c r="P386" s="44"/>
      <c r="Q386" s="44"/>
    </row>
    <row r="387" spans="1:41" s="7" customFormat="1" ht="13.5" customHeight="1">
      <c r="A387" s="16"/>
      <c r="C387" s="7" t="s">
        <v>63</v>
      </c>
      <c r="D387" s="49">
        <f aca="true" t="shared" si="264" ref="D387:P387">(D359*D361+D368*D372)/(D359+D368)</f>
        <v>0.09999999999999999</v>
      </c>
      <c r="E387" s="49">
        <f t="shared" si="264"/>
        <v>0.09999999999999999</v>
      </c>
      <c r="F387" s="49">
        <f t="shared" si="264"/>
        <v>0.1</v>
      </c>
      <c r="G387" s="132">
        <f t="shared" si="264"/>
        <v>0.1</v>
      </c>
      <c r="H387" s="49">
        <f t="shared" si="264"/>
        <v>0.09999999999999999</v>
      </c>
      <c r="I387" s="49">
        <f t="shared" si="264"/>
        <v>0.09999999999999998</v>
      </c>
      <c r="J387" s="49">
        <f t="shared" si="264"/>
        <v>0.09999999999999999</v>
      </c>
      <c r="K387" s="49">
        <f t="shared" si="264"/>
        <v>0.09999999999999999</v>
      </c>
      <c r="L387" s="49">
        <f t="shared" si="264"/>
        <v>0.09999999999999999</v>
      </c>
      <c r="M387" s="132">
        <f t="shared" si="264"/>
        <v>0.1</v>
      </c>
      <c r="N387" s="49">
        <f t="shared" si="264"/>
        <v>0.09999999999999999</v>
      </c>
      <c r="O387" s="49">
        <f t="shared" si="264"/>
        <v>0.09999999999999999</v>
      </c>
      <c r="P387" s="49">
        <f t="shared" si="264"/>
        <v>0.09999999999999998</v>
      </c>
      <c r="Q387" s="49">
        <f>P387</f>
        <v>0.09999999999999998</v>
      </c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</row>
    <row r="388" spans="1:17" ht="13.5" customHeight="1" hidden="1">
      <c r="A388" s="16"/>
      <c r="C388" s="21" t="s">
        <v>64</v>
      </c>
      <c r="D388" s="12">
        <v>1</v>
      </c>
      <c r="E388" s="12">
        <f>1/(1+D387)</f>
        <v>0.9090909090909091</v>
      </c>
      <c r="F388" s="12">
        <f aca="true" t="shared" si="265" ref="F388:Q388">E388/(1+E387)</f>
        <v>0.8264462809917354</v>
      </c>
      <c r="G388" s="98">
        <f t="shared" si="265"/>
        <v>0.7513148009015777</v>
      </c>
      <c r="H388" s="12">
        <f t="shared" si="265"/>
        <v>0.6830134553650705</v>
      </c>
      <c r="I388" s="12">
        <f t="shared" si="265"/>
        <v>0.6209213230591549</v>
      </c>
      <c r="J388" s="12">
        <f t="shared" si="265"/>
        <v>0.5644739300537771</v>
      </c>
      <c r="K388" s="12">
        <f t="shared" si="265"/>
        <v>0.5131581182307065</v>
      </c>
      <c r="L388" s="12">
        <f t="shared" si="265"/>
        <v>0.4665073802097331</v>
      </c>
      <c r="M388" s="98">
        <f t="shared" si="265"/>
        <v>0.4240976183724846</v>
      </c>
      <c r="N388" s="12">
        <f t="shared" si="265"/>
        <v>0.3855432894295314</v>
      </c>
      <c r="O388" s="12">
        <f t="shared" si="265"/>
        <v>0.35049389948139215</v>
      </c>
      <c r="P388" s="12">
        <f t="shared" si="265"/>
        <v>0.31863081771035645</v>
      </c>
      <c r="Q388" s="12">
        <f t="shared" si="265"/>
        <v>0.2896643797366877</v>
      </c>
    </row>
    <row r="389" spans="1:17" ht="13.5" customHeight="1" hidden="1">
      <c r="A389" s="45"/>
      <c r="B389" s="42"/>
      <c r="C389" s="42" t="s">
        <v>33</v>
      </c>
      <c r="D389" s="42"/>
      <c r="E389" s="23">
        <f>E$43</f>
        <v>285</v>
      </c>
      <c r="F389" s="23">
        <f aca="true" t="shared" si="266" ref="F389:P389">F$43</f>
        <v>149</v>
      </c>
      <c r="G389" s="23">
        <f t="shared" si="266"/>
        <v>458</v>
      </c>
      <c r="H389" s="23">
        <f t="shared" si="266"/>
        <v>490.6500000000001</v>
      </c>
      <c r="I389" s="23">
        <f t="shared" si="266"/>
        <v>500.46299999999985</v>
      </c>
      <c r="J389" s="23">
        <f t="shared" si="266"/>
        <v>510.4722600000002</v>
      </c>
      <c r="K389" s="23">
        <f t="shared" si="266"/>
        <v>520.6817051999999</v>
      </c>
      <c r="L389" s="23">
        <f t="shared" si="266"/>
        <v>531.0953393039996</v>
      </c>
      <c r="M389" s="23">
        <f t="shared" si="266"/>
        <v>541.7172460900803</v>
      </c>
      <c r="N389" s="23">
        <f t="shared" si="266"/>
        <v>552.5515910118818</v>
      </c>
      <c r="O389" s="23">
        <f t="shared" si="266"/>
        <v>563.6026228321198</v>
      </c>
      <c r="P389" s="23">
        <f t="shared" si="266"/>
        <v>574.8746752887611</v>
      </c>
      <c r="Q389" s="1">
        <f>P389*(1+O$5)+P389*(1+O$5)*(1+O$5)/(P387-O$5)</f>
        <v>8062.617320924876</v>
      </c>
    </row>
    <row r="390" spans="1:17" ht="13.5" customHeight="1" hidden="1">
      <c r="A390" s="16"/>
      <c r="C390" s="21" t="s">
        <v>65</v>
      </c>
      <c r="D390" s="1"/>
      <c r="E390" s="1">
        <f aca="true" t="shared" si="267" ref="E390:Q390">E389*E388</f>
        <v>259.09090909090907</v>
      </c>
      <c r="F390" s="1">
        <f t="shared" si="267"/>
        <v>123.14049586776858</v>
      </c>
      <c r="G390" s="29">
        <f t="shared" si="267"/>
        <v>344.10217881292255</v>
      </c>
      <c r="H390" s="1">
        <f t="shared" si="267"/>
        <v>335.1205518748719</v>
      </c>
      <c r="I390" s="1">
        <f t="shared" si="267"/>
        <v>310.7481481021538</v>
      </c>
      <c r="J390" s="1">
        <f t="shared" si="267"/>
        <v>288.1482827856336</v>
      </c>
      <c r="K390" s="1">
        <f t="shared" si="267"/>
        <v>267.1920440375874</v>
      </c>
      <c r="L390" s="1">
        <f t="shared" si="267"/>
        <v>247.75989538030814</v>
      </c>
      <c r="M390" s="29">
        <f t="shared" si="267"/>
        <v>229.7409938981042</v>
      </c>
      <c r="N390" s="1">
        <f t="shared" si="267"/>
        <v>213.032557978242</v>
      </c>
      <c r="O390" s="1">
        <f t="shared" si="267"/>
        <v>197.53928103436996</v>
      </c>
      <c r="P390" s="1">
        <f t="shared" si="267"/>
        <v>183.1727878682336</v>
      </c>
      <c r="Q390" s="1">
        <f t="shared" si="267"/>
        <v>2335.453045319979</v>
      </c>
    </row>
    <row r="391" spans="1:17" ht="13.5" customHeight="1">
      <c r="A391" s="16"/>
      <c r="B391" s="4" t="s">
        <v>59</v>
      </c>
      <c r="C391" s="42" t="s">
        <v>66</v>
      </c>
      <c r="D391" s="18">
        <f>SUM(E390:$Q390)/D388</f>
        <v>5334.241172051084</v>
      </c>
      <c r="E391" s="18">
        <f>SUM(F390:$Q390)/E388</f>
        <v>5582.665289256192</v>
      </c>
      <c r="F391" s="18">
        <f>SUM(G390:$Q390)/F388</f>
        <v>5991.931818181812</v>
      </c>
      <c r="G391" s="91">
        <f>SUM(H390:$Q390)/G388</f>
        <v>6133.1249999999945</v>
      </c>
      <c r="H391" s="18">
        <f>SUM(I390:$Q390)/H388</f>
        <v>6255.787499999994</v>
      </c>
      <c r="I391" s="18">
        <f>SUM(J390:$Q390)/I388</f>
        <v>6380.903249999994</v>
      </c>
      <c r="J391" s="18">
        <f>SUM(K390:$Q390)/J388</f>
        <v>6508.5213149999945</v>
      </c>
      <c r="K391" s="18">
        <f>SUM(L390:$Q390)/K388</f>
        <v>6638.691741299995</v>
      </c>
      <c r="L391" s="18">
        <f>SUM(M390:$Q390)/L388</f>
        <v>6771.4655761259955</v>
      </c>
      <c r="M391" s="91">
        <f>SUM(N390:$Q390)/M388</f>
        <v>6906.894887648515</v>
      </c>
      <c r="N391" s="18">
        <f>SUM(O390:$Q390)/N388</f>
        <v>7045.032785401486</v>
      </c>
      <c r="O391" s="18">
        <f>SUM(P390:$Q390)/O388</f>
        <v>7185.933441109515</v>
      </c>
      <c r="P391" s="18">
        <f>SUM(Q390:$Q390)/P388</f>
        <v>7329.652109931706</v>
      </c>
      <c r="Q391" s="18"/>
    </row>
    <row r="392" spans="1:41" s="65" customFormat="1" ht="12.75" customHeight="1" thickBot="1">
      <c r="A392" s="64"/>
      <c r="B392" s="65" t="s">
        <v>48</v>
      </c>
      <c r="C392" s="77" t="s">
        <v>67</v>
      </c>
      <c r="D392" s="79">
        <f aca="true" t="shared" si="268" ref="D392:P392">D391-D359</f>
        <v>3834.2411720510854</v>
      </c>
      <c r="E392" s="79">
        <f t="shared" si="268"/>
        <v>4082.6652892561942</v>
      </c>
      <c r="F392" s="79">
        <f t="shared" si="268"/>
        <v>4491.9318181818135</v>
      </c>
      <c r="G392" s="95">
        <f t="shared" si="268"/>
        <v>4633.124999999996</v>
      </c>
      <c r="H392" s="79">
        <f t="shared" si="268"/>
        <v>4725.787499999996</v>
      </c>
      <c r="I392" s="79">
        <f t="shared" si="268"/>
        <v>4820.303249999995</v>
      </c>
      <c r="J392" s="79">
        <f t="shared" si="268"/>
        <v>4916.709314999996</v>
      </c>
      <c r="K392" s="79">
        <f t="shared" si="268"/>
        <v>5015.043501299997</v>
      </c>
      <c r="L392" s="79">
        <f t="shared" si="268"/>
        <v>5115.344371325998</v>
      </c>
      <c r="M392" s="95">
        <f t="shared" si="268"/>
        <v>5217.651258752516</v>
      </c>
      <c r="N392" s="79">
        <f t="shared" si="268"/>
        <v>5322.0042839275675</v>
      </c>
      <c r="O392" s="79">
        <f t="shared" si="268"/>
        <v>5428.444369606118</v>
      </c>
      <c r="P392" s="79">
        <f t="shared" si="268"/>
        <v>5537.013256998242</v>
      </c>
      <c r="Q392" s="108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69"/>
      <c r="AM392" s="69"/>
      <c r="AN392" s="69"/>
      <c r="AO392" s="69"/>
    </row>
    <row r="393" spans="1:17" ht="7.5" customHeight="1">
      <c r="A393" s="16"/>
      <c r="D393" s="40"/>
      <c r="E393" s="40"/>
      <c r="F393" s="40"/>
      <c r="G393" s="33"/>
      <c r="H393" s="40"/>
      <c r="I393" s="40"/>
      <c r="J393" s="22"/>
      <c r="K393" s="22"/>
      <c r="L393" s="22"/>
      <c r="M393" s="26"/>
      <c r="N393" s="22"/>
      <c r="O393" s="22"/>
      <c r="P393" s="22"/>
      <c r="Q393" s="22"/>
    </row>
    <row r="394" spans="1:17" ht="12.75" customHeight="1">
      <c r="A394" s="16"/>
      <c r="C394" s="73" t="s">
        <v>68</v>
      </c>
      <c r="D394" s="70"/>
      <c r="E394" s="70">
        <f aca="true" t="shared" si="269" ref="E394:P394">E$29-D$14*D372</f>
        <v>141.08788301859065</v>
      </c>
      <c r="F394" s="70">
        <f t="shared" si="269"/>
        <v>307.10548529612703</v>
      </c>
      <c r="G394" s="70">
        <f t="shared" si="269"/>
        <v>310.72297553694756</v>
      </c>
      <c r="H394" s="70">
        <f t="shared" si="269"/>
        <v>320.22814649939306</v>
      </c>
      <c r="I394" s="70">
        <f t="shared" si="269"/>
        <v>326.632709429381</v>
      </c>
      <c r="J394" s="70">
        <f t="shared" si="269"/>
        <v>333.1653636179686</v>
      </c>
      <c r="K394" s="70">
        <f t="shared" si="269"/>
        <v>339.82867089032777</v>
      </c>
      <c r="L394" s="70">
        <f t="shared" si="269"/>
        <v>346.6252443081345</v>
      </c>
      <c r="M394" s="70">
        <f t="shared" si="269"/>
        <v>353.5577491942971</v>
      </c>
      <c r="N394" s="70">
        <f t="shared" si="269"/>
        <v>360.6289041781831</v>
      </c>
      <c r="O394" s="70">
        <f t="shared" si="269"/>
        <v>367.84148226174665</v>
      </c>
      <c r="P394" s="70">
        <f t="shared" si="269"/>
        <v>375.19831190698176</v>
      </c>
      <c r="Q394" s="1">
        <f>P394*(1+O$5)+P394*(1+O$5)*(1+O$5)/(P372-O$5)</f>
        <v>4896.790989688209</v>
      </c>
    </row>
    <row r="395" spans="1:41" s="42" customFormat="1" ht="12.75" customHeight="1">
      <c r="A395" s="45"/>
      <c r="C395" s="39" t="s">
        <v>69</v>
      </c>
      <c r="D395" s="18"/>
      <c r="E395" s="18">
        <f aca="true" t="shared" si="270" ref="E395:P395">E$29+E$25*(1-$F$1)-(D$13+D$14)*D379</f>
        <v>88.74731949506153</v>
      </c>
      <c r="F395" s="18">
        <f t="shared" si="270"/>
        <v>254.27227508410405</v>
      </c>
      <c r="G395" s="18">
        <f t="shared" si="270"/>
        <v>261.07729143355647</v>
      </c>
      <c r="H395" s="18">
        <f t="shared" si="270"/>
        <v>270.89078263527983</v>
      </c>
      <c r="I395" s="18">
        <f t="shared" si="270"/>
        <v>276.30859828798543</v>
      </c>
      <c r="J395" s="18">
        <f t="shared" si="270"/>
        <v>281.8347702537452</v>
      </c>
      <c r="K395" s="18">
        <f t="shared" si="270"/>
        <v>287.47146565881997</v>
      </c>
      <c r="L395" s="18">
        <f t="shared" si="270"/>
        <v>293.2208949719965</v>
      </c>
      <c r="M395" s="18">
        <f t="shared" si="270"/>
        <v>299.08531287143626</v>
      </c>
      <c r="N395" s="18">
        <f t="shared" si="270"/>
        <v>305.06701912886507</v>
      </c>
      <c r="O395" s="18">
        <f t="shared" si="270"/>
        <v>311.1683595114423</v>
      </c>
      <c r="P395" s="18">
        <f t="shared" si="270"/>
        <v>317.3917267016713</v>
      </c>
      <c r="Q395" s="36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69"/>
      <c r="AN395" s="69"/>
      <c r="AO395" s="69"/>
    </row>
    <row r="396" spans="1:17" ht="12.75" customHeight="1">
      <c r="A396" s="16"/>
      <c r="C396" s="56"/>
      <c r="D396" s="70"/>
      <c r="E396" s="70"/>
      <c r="F396" s="70"/>
      <c r="G396" s="29"/>
      <c r="H396" s="70"/>
      <c r="I396" s="70"/>
      <c r="J396" s="70"/>
      <c r="K396" s="70"/>
      <c r="L396" s="70"/>
      <c r="M396" s="29"/>
      <c r="N396" s="70"/>
      <c r="O396" s="70"/>
      <c r="P396" s="70"/>
      <c r="Q396" s="71"/>
    </row>
    <row r="397" spans="1:17" ht="12.75" customHeight="1" hidden="1">
      <c r="A397" s="16"/>
      <c r="C397" s="21" t="s">
        <v>53</v>
      </c>
      <c r="D397" s="70"/>
      <c r="E397" s="70">
        <f aca="true" t="shared" si="271" ref="E397:P397">E373</f>
        <v>0.9026702696535905</v>
      </c>
      <c r="F397" s="70">
        <f t="shared" si="271"/>
        <v>0.815163936500233</v>
      </c>
      <c r="G397" s="29">
        <f t="shared" si="271"/>
        <v>0.7365859485327244</v>
      </c>
      <c r="H397" s="70">
        <f t="shared" si="271"/>
        <v>0.6657049408669625</v>
      </c>
      <c r="I397" s="70">
        <f t="shared" si="271"/>
        <v>0.6016447492345798</v>
      </c>
      <c r="J397" s="70">
        <f t="shared" si="271"/>
        <v>0.5437490126032869</v>
      </c>
      <c r="K397" s="70">
        <f t="shared" si="271"/>
        <v>0.4914245309764537</v>
      </c>
      <c r="L397" s="70">
        <f t="shared" si="271"/>
        <v>0.4441351874630837</v>
      </c>
      <c r="M397" s="29">
        <f t="shared" si="271"/>
        <v>0.4013964552215647</v>
      </c>
      <c r="N397" s="70">
        <f t="shared" si="271"/>
        <v>0.3627704329953134</v>
      </c>
      <c r="O397" s="70">
        <f t="shared" si="271"/>
        <v>0.32786135837438996</v>
      </c>
      <c r="P397" s="70">
        <f t="shared" si="271"/>
        <v>0.2963115528119373</v>
      </c>
      <c r="Q397" s="74">
        <f>P397/(1+$P372)</f>
        <v>0.26779775684806595</v>
      </c>
    </row>
    <row r="398" spans="1:17" ht="12.75" customHeight="1" hidden="1">
      <c r="A398" s="16"/>
      <c r="C398" s="21" t="s">
        <v>70</v>
      </c>
      <c r="D398" s="1"/>
      <c r="E398" s="1">
        <f>E394*E397</f>
        <v>127.35583740924545</v>
      </c>
      <c r="F398" s="1">
        <f aca="true" t="shared" si="272" ref="F398:Q398">F394*F397</f>
        <v>250.34131631480534</v>
      </c>
      <c r="G398" s="29">
        <f t="shared" si="272"/>
        <v>228.87417766679303</v>
      </c>
      <c r="H398" s="1">
        <f t="shared" si="272"/>
        <v>213.17745932931547</v>
      </c>
      <c r="I398" s="1">
        <f t="shared" si="272"/>
        <v>196.5168545564513</v>
      </c>
      <c r="J398" s="1">
        <f t="shared" si="272"/>
        <v>181.15833750088547</v>
      </c>
      <c r="K398" s="1">
        <f t="shared" si="272"/>
        <v>167.00014520463097</v>
      </c>
      <c r="L398" s="1">
        <f t="shared" si="272"/>
        <v>153.9484678602305</v>
      </c>
      <c r="M398" s="29">
        <f t="shared" si="272"/>
        <v>141.9168272427059</v>
      </c>
      <c r="N398" s="1">
        <f t="shared" si="272"/>
        <v>130.82550371934488</v>
      </c>
      <c r="O398" s="1">
        <f t="shared" si="272"/>
        <v>120.60100804078532</v>
      </c>
      <c r="P398" s="1">
        <f t="shared" si="272"/>
        <v>111.17559441357534</v>
      </c>
      <c r="Q398" s="1">
        <f t="shared" si="272"/>
        <v>1311.3496427923233</v>
      </c>
    </row>
    <row r="399" spans="1:17" ht="12.75" customHeight="1">
      <c r="A399" s="16"/>
      <c r="C399" s="42" t="s">
        <v>71</v>
      </c>
      <c r="D399" s="18">
        <f>SUM(E398:$Q398)/D373</f>
        <v>3334.2411720510922</v>
      </c>
      <c r="E399" s="18">
        <f>SUM(F398:$Q398)/E373</f>
        <v>3552.665289256201</v>
      </c>
      <c r="F399" s="18">
        <f>SUM(G398:$Q398)/F373</f>
        <v>3626.9318181818217</v>
      </c>
      <c r="G399" s="91">
        <f>SUM(H398:$Q398)/G373</f>
        <v>3703.125000000004</v>
      </c>
      <c r="H399" s="18">
        <f>SUM(I398:$Q398)/H373</f>
        <v>3777.1875000000036</v>
      </c>
      <c r="I399" s="18">
        <f>SUM(J398:$Q398)/I373</f>
        <v>3852.7312500000044</v>
      </c>
      <c r="J399" s="18">
        <f>SUM(K398:$Q398)/J373</f>
        <v>3929.7858750000046</v>
      </c>
      <c r="K399" s="18">
        <f>SUM(L398:$Q398)/K373</f>
        <v>4008.3815925000044</v>
      </c>
      <c r="L399" s="18">
        <f>SUM(M398:$Q398)/L373</f>
        <v>4088.5492243500044</v>
      </c>
      <c r="M399" s="91">
        <f>SUM(N398:$Q398)/M373</f>
        <v>4170.320208837004</v>
      </c>
      <c r="N399" s="18">
        <f>SUM(O398:$Q398)/N373</f>
        <v>4253.726613013744</v>
      </c>
      <c r="O399" s="18">
        <f>SUM(P398:$Q398)/O373</f>
        <v>4338.801145274018</v>
      </c>
      <c r="P399" s="18">
        <f>SUM(Q398:$Q398)/P373</f>
        <v>4425.577168179499</v>
      </c>
      <c r="Q399" s="71"/>
    </row>
    <row r="400" spans="1:41" s="65" customFormat="1" ht="12.75" customHeight="1" thickBot="1">
      <c r="A400" s="64"/>
      <c r="B400" s="65" t="s">
        <v>72</v>
      </c>
      <c r="C400" s="77" t="s">
        <v>73</v>
      </c>
      <c r="D400" s="79">
        <f aca="true" t="shared" si="273" ref="D400:P400">D399+D$14</f>
        <v>3834.2411720510922</v>
      </c>
      <c r="E400" s="79">
        <f t="shared" si="273"/>
        <v>4082.665289256201</v>
      </c>
      <c r="F400" s="79">
        <f t="shared" si="273"/>
        <v>4491.931818181822</v>
      </c>
      <c r="G400" s="79">
        <f t="shared" si="273"/>
        <v>4633.125000000004</v>
      </c>
      <c r="H400" s="79">
        <f t="shared" si="273"/>
        <v>4725.787500000004</v>
      </c>
      <c r="I400" s="79">
        <f t="shared" si="273"/>
        <v>4820.3032500000045</v>
      </c>
      <c r="J400" s="79">
        <f t="shared" si="273"/>
        <v>4916.709315000005</v>
      </c>
      <c r="K400" s="79">
        <f t="shared" si="273"/>
        <v>5015.043501300004</v>
      </c>
      <c r="L400" s="79">
        <f t="shared" si="273"/>
        <v>5115.344371326005</v>
      </c>
      <c r="M400" s="79">
        <f t="shared" si="273"/>
        <v>5217.651258752525</v>
      </c>
      <c r="N400" s="79">
        <f t="shared" si="273"/>
        <v>5322.004283927575</v>
      </c>
      <c r="O400" s="79">
        <f t="shared" si="273"/>
        <v>5428.444369606125</v>
      </c>
      <c r="P400" s="79">
        <f t="shared" si="273"/>
        <v>5537.013256998248</v>
      </c>
      <c r="Q400" s="90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69"/>
      <c r="AN400" s="69"/>
      <c r="AO400" s="69"/>
    </row>
    <row r="401" spans="1:17" s="69" customFormat="1" ht="6.75" customHeight="1">
      <c r="A401" s="55"/>
      <c r="C401" s="56"/>
      <c r="D401" s="57"/>
      <c r="E401" s="57"/>
      <c r="F401" s="57"/>
      <c r="G401" s="97"/>
      <c r="H401" s="57"/>
      <c r="I401" s="57"/>
      <c r="J401" s="57"/>
      <c r="K401" s="57"/>
      <c r="L401" s="57"/>
      <c r="M401" s="97"/>
      <c r="N401" s="57"/>
      <c r="O401" s="57"/>
      <c r="P401" s="57"/>
      <c r="Q401" s="71"/>
    </row>
    <row r="402" spans="1:17" s="69" customFormat="1" ht="12" customHeight="1" hidden="1">
      <c r="A402" s="75"/>
      <c r="C402" s="69" t="s">
        <v>69</v>
      </c>
      <c r="D402" s="58"/>
      <c r="E402" s="58">
        <f aca="true" t="shared" si="274" ref="E402:P402">E395</f>
        <v>88.74731949506153</v>
      </c>
      <c r="F402" s="58">
        <f t="shared" si="274"/>
        <v>254.27227508410405</v>
      </c>
      <c r="G402" s="93">
        <f t="shared" si="274"/>
        <v>261.07729143355647</v>
      </c>
      <c r="H402" s="58">
        <f t="shared" si="274"/>
        <v>270.89078263527983</v>
      </c>
      <c r="I402" s="58">
        <f t="shared" si="274"/>
        <v>276.30859828798543</v>
      </c>
      <c r="J402" s="58">
        <f t="shared" si="274"/>
        <v>281.8347702537452</v>
      </c>
      <c r="K402" s="58">
        <f t="shared" si="274"/>
        <v>287.47146565881997</v>
      </c>
      <c r="L402" s="58">
        <f t="shared" si="274"/>
        <v>293.2208949719965</v>
      </c>
      <c r="M402" s="93">
        <f t="shared" si="274"/>
        <v>299.08531287143626</v>
      </c>
      <c r="N402" s="58">
        <f t="shared" si="274"/>
        <v>305.06701912886507</v>
      </c>
      <c r="O402" s="58">
        <f t="shared" si="274"/>
        <v>311.1683595114423</v>
      </c>
      <c r="P402" s="58">
        <f t="shared" si="274"/>
        <v>317.3917267016713</v>
      </c>
      <c r="Q402" s="1">
        <f>P402*(1+O$5)+P402*(1+O$5)*(1+O$5)/(P379-O$5)</f>
        <v>4837.828272778794</v>
      </c>
    </row>
    <row r="403" spans="1:17" ht="12" customHeight="1" hidden="1">
      <c r="A403" s="16"/>
      <c r="C403" s="21" t="s">
        <v>74</v>
      </c>
      <c r="D403" s="1"/>
      <c r="E403" s="1">
        <f>E402*E380</f>
        <v>81.26103750464037</v>
      </c>
      <c r="F403" s="1">
        <f aca="true" t="shared" si="275" ref="F403:Q403">F402*F380</f>
        <v>213.1149611662147</v>
      </c>
      <c r="G403" s="29">
        <f t="shared" si="275"/>
        <v>200.20163136082283</v>
      </c>
      <c r="H403" s="1">
        <f t="shared" si="275"/>
        <v>190.02564318438488</v>
      </c>
      <c r="I403" s="1">
        <f t="shared" si="275"/>
        <v>177.30943771380296</v>
      </c>
      <c r="J403" s="1">
        <f t="shared" si="275"/>
        <v>165.44417993038752</v>
      </c>
      <c r="K403" s="1">
        <f t="shared" si="275"/>
        <v>154.37292580567254</v>
      </c>
      <c r="L403" s="1">
        <f t="shared" si="275"/>
        <v>144.04254191251005</v>
      </c>
      <c r="M403" s="29">
        <f t="shared" si="275"/>
        <v>134.4034504258569</v>
      </c>
      <c r="N403" s="1">
        <f t="shared" si="275"/>
        <v>125.40939118769403</v>
      </c>
      <c r="O403" s="1">
        <f t="shared" si="275"/>
        <v>117.01719969417066</v>
      </c>
      <c r="P403" s="1">
        <f t="shared" si="275"/>
        <v>109.1865999394874</v>
      </c>
      <c r="Q403" s="1">
        <f t="shared" si="275"/>
        <v>1522.4521722254456</v>
      </c>
    </row>
    <row r="404" spans="1:17" ht="12" customHeight="1">
      <c r="A404" s="16"/>
      <c r="C404" s="42" t="s">
        <v>75</v>
      </c>
      <c r="D404" s="18">
        <f>SUM(E403:$Q403)/D380</f>
        <v>3334.2411720510904</v>
      </c>
      <c r="E404" s="18">
        <f>SUM(F403:$Q403)/E380</f>
        <v>3552.6652892561992</v>
      </c>
      <c r="F404" s="18">
        <f>SUM(G403:$Q403)/F380</f>
        <v>3626.9318181818194</v>
      </c>
      <c r="G404" s="91">
        <f>SUM(H403:$Q403)/G380</f>
        <v>3703.125000000002</v>
      </c>
      <c r="H404" s="18">
        <f>SUM(I403:$Q403)/H380</f>
        <v>3777.1875000000023</v>
      </c>
      <c r="I404" s="18">
        <f>SUM(J403:$Q403)/I380</f>
        <v>3852.7312500000025</v>
      </c>
      <c r="J404" s="18">
        <f>SUM(K403:$Q403)/J380</f>
        <v>3929.785875000002</v>
      </c>
      <c r="K404" s="18">
        <f>SUM(L403:$Q403)/K380</f>
        <v>4008.3815925000026</v>
      </c>
      <c r="L404" s="18">
        <f>SUM(M403:$Q403)/L380</f>
        <v>4088.549224350002</v>
      </c>
      <c r="M404" s="91">
        <f>SUM(N403:$Q403)/M380</f>
        <v>4170.320208837003</v>
      </c>
      <c r="N404" s="18">
        <f>SUM(O403:$Q403)/N380</f>
        <v>4253.726613013743</v>
      </c>
      <c r="O404" s="18">
        <f>SUM(P403:$Q403)/O380</f>
        <v>4338.801145274018</v>
      </c>
      <c r="P404" s="18">
        <f>SUM(Q403:$Q403)/P380</f>
        <v>4425.577168179499</v>
      </c>
      <c r="Q404" s="18"/>
    </row>
    <row r="405" spans="1:41" s="65" customFormat="1" ht="12.75" customHeight="1" thickBot="1">
      <c r="A405" s="64"/>
      <c r="B405" s="65" t="s">
        <v>76</v>
      </c>
      <c r="C405" s="77"/>
      <c r="D405" s="112">
        <f aca="true" t="shared" si="276" ref="D405:P405">D404+D$14-(D$62-D$58)</f>
        <v>3834.2411720510922</v>
      </c>
      <c r="E405" s="112">
        <f t="shared" si="276"/>
        <v>4082.665289256201</v>
      </c>
      <c r="F405" s="112">
        <f t="shared" si="276"/>
        <v>4491.931818181822</v>
      </c>
      <c r="G405" s="112">
        <f t="shared" si="276"/>
        <v>4633.125000000004</v>
      </c>
      <c r="H405" s="112">
        <f t="shared" si="276"/>
        <v>4725.787500000004</v>
      </c>
      <c r="I405" s="112">
        <f t="shared" si="276"/>
        <v>4820.3032500000045</v>
      </c>
      <c r="J405" s="112">
        <f t="shared" si="276"/>
        <v>4916.709315000004</v>
      </c>
      <c r="K405" s="112">
        <f t="shared" si="276"/>
        <v>5015.043501300004</v>
      </c>
      <c r="L405" s="112">
        <f t="shared" si="276"/>
        <v>5115.344371326004</v>
      </c>
      <c r="M405" s="112">
        <f t="shared" si="276"/>
        <v>5217.651258752525</v>
      </c>
      <c r="N405" s="112">
        <f t="shared" si="276"/>
        <v>5322.004283927576</v>
      </c>
      <c r="O405" s="112">
        <f t="shared" si="276"/>
        <v>5428.444369606127</v>
      </c>
      <c r="P405" s="112">
        <f t="shared" si="276"/>
        <v>5537.01325699825</v>
      </c>
      <c r="Q405" s="90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K405" s="69"/>
      <c r="AL405" s="69"/>
      <c r="AM405" s="69"/>
      <c r="AN405" s="69"/>
      <c r="AO405" s="69"/>
    </row>
    <row r="406" spans="1:17" s="69" customFormat="1" ht="12.75" customHeight="1">
      <c r="A406"/>
      <c r="C406" s="56"/>
      <c r="D406" s="57"/>
      <c r="E406" s="57"/>
      <c r="F406" s="57"/>
      <c r="G406" s="97"/>
      <c r="H406" s="57"/>
      <c r="I406" s="57"/>
      <c r="J406" s="57"/>
      <c r="K406" s="57"/>
      <c r="L406" s="57"/>
      <c r="M406" s="97"/>
      <c r="N406" s="57"/>
      <c r="O406" s="57"/>
      <c r="P406" s="57"/>
      <c r="Q406" s="71"/>
    </row>
    <row r="407" spans="1:17" ht="12" customHeight="1">
      <c r="A407" s="45"/>
      <c r="B407" s="42"/>
      <c r="C407" s="39" t="s">
        <v>77</v>
      </c>
      <c r="D407" s="42"/>
      <c r="E407" s="59">
        <f aca="true" t="shared" si="277" ref="E407:Q407">E$40-D368*(D372-D$51)</f>
        <v>135.00000000000009</v>
      </c>
      <c r="F407" s="59">
        <f t="shared" si="277"/>
        <v>-0.999999999999936</v>
      </c>
      <c r="G407" s="59">
        <f t="shared" si="277"/>
        <v>308.00000000000006</v>
      </c>
      <c r="H407" s="59">
        <f t="shared" si="277"/>
        <v>370.65000000000015</v>
      </c>
      <c r="I407" s="59">
        <f t="shared" si="277"/>
        <v>378.0630000000001</v>
      </c>
      <c r="J407" s="59">
        <f t="shared" si="277"/>
        <v>385.6242600000002</v>
      </c>
      <c r="K407" s="59">
        <f t="shared" si="277"/>
        <v>393.33674520000005</v>
      </c>
      <c r="L407" s="59">
        <f t="shared" si="277"/>
        <v>401.2034801039997</v>
      </c>
      <c r="M407" s="59">
        <f t="shared" si="277"/>
        <v>409.22754970608037</v>
      </c>
      <c r="N407" s="59">
        <f t="shared" si="277"/>
        <v>417.41210070020185</v>
      </c>
      <c r="O407" s="59">
        <f t="shared" si="277"/>
        <v>425.7603427142064</v>
      </c>
      <c r="P407" s="59">
        <f t="shared" si="277"/>
        <v>434.27554956848934</v>
      </c>
      <c r="Q407" s="59">
        <f t="shared" si="277"/>
        <v>442.96106055985905</v>
      </c>
    </row>
    <row r="408" spans="1:41" s="7" customFormat="1" ht="12" customHeight="1">
      <c r="A408" s="45"/>
      <c r="B408" s="39"/>
      <c r="C408" s="39" t="s">
        <v>78</v>
      </c>
      <c r="D408" s="39"/>
      <c r="E408" s="59">
        <f aca="true" t="shared" si="278" ref="E408:Q408">E$41-D383*(D379-D$51)</f>
        <v>285.00000000000006</v>
      </c>
      <c r="F408" s="59">
        <f t="shared" si="278"/>
        <v>149</v>
      </c>
      <c r="G408" s="59">
        <f t="shared" si="278"/>
        <v>457.99999999999994</v>
      </c>
      <c r="H408" s="59">
        <f t="shared" si="278"/>
        <v>490.6500000000001</v>
      </c>
      <c r="I408" s="59">
        <f t="shared" si="278"/>
        <v>500.4629999999998</v>
      </c>
      <c r="J408" s="59">
        <f t="shared" si="278"/>
        <v>510.47226000000023</v>
      </c>
      <c r="K408" s="59">
        <f t="shared" si="278"/>
        <v>520.6817051999999</v>
      </c>
      <c r="L408" s="59">
        <f t="shared" si="278"/>
        <v>531.0953393039996</v>
      </c>
      <c r="M408" s="59">
        <f t="shared" si="278"/>
        <v>541.7172460900802</v>
      </c>
      <c r="N408" s="59">
        <f t="shared" si="278"/>
        <v>552.5515910118817</v>
      </c>
      <c r="O408" s="59">
        <f t="shared" si="278"/>
        <v>563.6026228321197</v>
      </c>
      <c r="P408" s="59">
        <f t="shared" si="278"/>
        <v>574.874675288761</v>
      </c>
      <c r="Q408" s="59">
        <f t="shared" si="278"/>
        <v>586.3721687945363</v>
      </c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</row>
    <row r="409" spans="1:41" s="7" customFormat="1" ht="12" customHeight="1">
      <c r="A409" s="55"/>
      <c r="B409" s="56"/>
      <c r="C409" s="56"/>
      <c r="D409" s="92"/>
      <c r="E409" s="61"/>
      <c r="F409" s="61"/>
      <c r="G409" s="62"/>
      <c r="H409" s="61"/>
      <c r="I409" s="61"/>
      <c r="J409" s="61"/>
      <c r="K409" s="61"/>
      <c r="L409" s="61"/>
      <c r="M409" s="62"/>
      <c r="N409" s="61"/>
      <c r="O409" s="61"/>
      <c r="P409" s="61"/>
      <c r="Q409" s="61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</row>
    <row r="410" spans="1:41" s="7" customFormat="1" ht="12" customHeight="1">
      <c r="A410" s="16"/>
      <c r="C410" s="7" t="s">
        <v>36</v>
      </c>
      <c r="D410" s="51">
        <f aca="true" t="shared" si="279" ref="D410:Q410">D$51</f>
        <v>0.1</v>
      </c>
      <c r="E410" s="51">
        <f t="shared" si="279"/>
        <v>0.1</v>
      </c>
      <c r="F410" s="51">
        <f t="shared" si="279"/>
        <v>0.1</v>
      </c>
      <c r="G410" s="51">
        <f t="shared" si="279"/>
        <v>0.1</v>
      </c>
      <c r="H410" s="51">
        <f t="shared" si="279"/>
        <v>0.1</v>
      </c>
      <c r="I410" s="51">
        <f t="shared" si="279"/>
        <v>0.1</v>
      </c>
      <c r="J410" s="51">
        <f t="shared" si="279"/>
        <v>0.1</v>
      </c>
      <c r="K410" s="51">
        <f t="shared" si="279"/>
        <v>0.1</v>
      </c>
      <c r="L410" s="51">
        <f t="shared" si="279"/>
        <v>0.1</v>
      </c>
      <c r="M410" s="51">
        <f t="shared" si="279"/>
        <v>0.1</v>
      </c>
      <c r="N410" s="51">
        <f t="shared" si="279"/>
        <v>0.1</v>
      </c>
      <c r="O410" s="51">
        <f t="shared" si="279"/>
        <v>0.1</v>
      </c>
      <c r="P410" s="51">
        <f t="shared" si="279"/>
        <v>0.1</v>
      </c>
      <c r="Q410" s="51">
        <f t="shared" si="279"/>
        <v>0.1</v>
      </c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</row>
    <row r="411" spans="1:17" ht="12" customHeight="1" hidden="1">
      <c r="A411" s="16"/>
      <c r="C411" s="21" t="s">
        <v>53</v>
      </c>
      <c r="D411" s="12">
        <v>1</v>
      </c>
      <c r="E411" s="12">
        <f>1/(1+D410)</f>
        <v>0.9090909090909091</v>
      </c>
      <c r="F411" s="46">
        <f aca="true" t="shared" si="280" ref="F411:Q411">E411/(1+E410)</f>
        <v>0.8264462809917354</v>
      </c>
      <c r="G411" s="96">
        <f t="shared" si="280"/>
        <v>0.7513148009015777</v>
      </c>
      <c r="H411" s="46">
        <f t="shared" si="280"/>
        <v>0.6830134553650705</v>
      </c>
      <c r="I411" s="46">
        <f t="shared" si="280"/>
        <v>0.6209213230591549</v>
      </c>
      <c r="J411" s="46">
        <f t="shared" si="280"/>
        <v>0.5644739300537771</v>
      </c>
      <c r="K411" s="46">
        <f t="shared" si="280"/>
        <v>0.5131581182307065</v>
      </c>
      <c r="L411" s="46">
        <f t="shared" si="280"/>
        <v>0.4665073802097331</v>
      </c>
      <c r="M411" s="96">
        <f t="shared" si="280"/>
        <v>0.4240976183724846</v>
      </c>
      <c r="N411" s="46">
        <f t="shared" si="280"/>
        <v>0.3855432894295314</v>
      </c>
      <c r="O411" s="46">
        <f t="shared" si="280"/>
        <v>0.35049389948139215</v>
      </c>
      <c r="P411" s="46">
        <f t="shared" si="280"/>
        <v>0.31863081771035645</v>
      </c>
      <c r="Q411" s="46">
        <f t="shared" si="280"/>
        <v>0.2896643797366877</v>
      </c>
    </row>
    <row r="412" spans="1:17" ht="12" customHeight="1" hidden="1">
      <c r="A412" s="16"/>
      <c r="B412" s="42"/>
      <c r="C412" s="42" t="s">
        <v>122</v>
      </c>
      <c r="D412" s="42"/>
      <c r="E412" s="23">
        <f aca="true" t="shared" si="281" ref="E412:P412">E407</f>
        <v>135.00000000000009</v>
      </c>
      <c r="F412" s="23">
        <f t="shared" si="281"/>
        <v>-0.999999999999936</v>
      </c>
      <c r="G412" s="101">
        <f t="shared" si="281"/>
        <v>308.00000000000006</v>
      </c>
      <c r="H412" s="23">
        <f t="shared" si="281"/>
        <v>370.65000000000015</v>
      </c>
      <c r="I412" s="23">
        <f t="shared" si="281"/>
        <v>378.0630000000001</v>
      </c>
      <c r="J412" s="23">
        <f t="shared" si="281"/>
        <v>385.6242600000002</v>
      </c>
      <c r="K412" s="23">
        <f t="shared" si="281"/>
        <v>393.33674520000005</v>
      </c>
      <c r="L412" s="23">
        <f t="shared" si="281"/>
        <v>401.2034801039997</v>
      </c>
      <c r="M412" s="23">
        <f t="shared" si="281"/>
        <v>409.22754970608037</v>
      </c>
      <c r="N412" s="23">
        <f t="shared" si="281"/>
        <v>417.41210070020185</v>
      </c>
      <c r="O412" s="23">
        <f t="shared" si="281"/>
        <v>425.7603427142064</v>
      </c>
      <c r="P412" s="23">
        <f t="shared" si="281"/>
        <v>434.27554956848934</v>
      </c>
      <c r="Q412" s="1">
        <f>P412*(1+O$5)+P412*(1+O$5)*(1+O$5)/(P410-O$5)</f>
        <v>6090.714582698062</v>
      </c>
    </row>
    <row r="413" spans="1:17" ht="12" customHeight="1" hidden="1">
      <c r="A413" s="16"/>
      <c r="C413" s="21" t="s">
        <v>54</v>
      </c>
      <c r="D413" s="1"/>
      <c r="E413" s="1">
        <f aca="true" t="shared" si="282" ref="E413:Q413">E412*E411</f>
        <v>122.7272727272728</v>
      </c>
      <c r="F413" s="1">
        <f t="shared" si="282"/>
        <v>-0.8264462809916826</v>
      </c>
      <c r="G413" s="29">
        <f t="shared" si="282"/>
        <v>231.40495867768595</v>
      </c>
      <c r="H413" s="1">
        <f t="shared" si="282"/>
        <v>253.15893723106348</v>
      </c>
      <c r="I413" s="1">
        <f t="shared" si="282"/>
        <v>234.74737815971335</v>
      </c>
      <c r="J413" s="1">
        <f t="shared" si="282"/>
        <v>217.67484156627967</v>
      </c>
      <c r="K413" s="1">
        <f t="shared" si="282"/>
        <v>201.8439439978229</v>
      </c>
      <c r="L413" s="1">
        <f t="shared" si="282"/>
        <v>187.16438443434467</v>
      </c>
      <c r="M413" s="29">
        <f t="shared" si="282"/>
        <v>173.55242920275626</v>
      </c>
      <c r="N413" s="1">
        <f t="shared" si="282"/>
        <v>160.93043435164662</v>
      </c>
      <c r="O413" s="1">
        <f t="shared" si="282"/>
        <v>149.22640276243612</v>
      </c>
      <c r="P413" s="1">
        <f t="shared" si="282"/>
        <v>138.3735734706222</v>
      </c>
      <c r="Q413" s="1">
        <f t="shared" si="282"/>
        <v>1764.2630617504328</v>
      </c>
    </row>
    <row r="414" spans="1:17" ht="12" customHeight="1">
      <c r="A414" s="16"/>
      <c r="C414" s="47" t="s">
        <v>79</v>
      </c>
      <c r="D414" s="38">
        <f>SUM(E413:$Q413)/D411</f>
        <v>3834.2411720510854</v>
      </c>
      <c r="E414" s="38">
        <f>SUM(F413:$Q413)/E411</f>
        <v>4082.665289256194</v>
      </c>
      <c r="F414" s="38">
        <f>SUM(G413:$Q413)/F411</f>
        <v>4491.931818181813</v>
      </c>
      <c r="G414" s="27">
        <f>SUM(H413:$Q413)/G411</f>
        <v>4633.1249999999945</v>
      </c>
      <c r="H414" s="38">
        <f>SUM(I413:$Q413)/H411</f>
        <v>4725.787499999995</v>
      </c>
      <c r="I414" s="38">
        <f>SUM(J413:$Q413)/I411</f>
        <v>4820.303249999995</v>
      </c>
      <c r="J414" s="38">
        <f>SUM(K413:$Q413)/J411</f>
        <v>4916.7093149999955</v>
      </c>
      <c r="K414" s="38">
        <f>SUM(L413:$Q413)/K411</f>
        <v>5015.043501299995</v>
      </c>
      <c r="L414" s="38">
        <f>SUM(M413:$Q413)/L411</f>
        <v>5115.344371325995</v>
      </c>
      <c r="M414" s="27">
        <f>SUM(N413:$Q413)/M411</f>
        <v>5217.651258752514</v>
      </c>
      <c r="N414" s="38">
        <f>SUM(O413:$Q413)/N411</f>
        <v>5322.004283927565</v>
      </c>
      <c r="O414" s="38">
        <f>SUM(P413:$Q413)/O411</f>
        <v>5428.444369606115</v>
      </c>
      <c r="P414" s="38">
        <f>SUM(Q413:$Q413)/P411</f>
        <v>5537.013256998239</v>
      </c>
      <c r="Q414" s="38"/>
    </row>
    <row r="415" spans="1:16" ht="12.75" customHeight="1">
      <c r="A415" s="16"/>
      <c r="D415" s="41"/>
      <c r="E415" s="41"/>
      <c r="F415" s="41"/>
      <c r="G415" s="146"/>
      <c r="H415" s="41"/>
      <c r="I415" s="41"/>
      <c r="J415" s="41"/>
      <c r="K415" s="41"/>
      <c r="L415" s="41"/>
      <c r="M415" s="31"/>
      <c r="N415" s="41"/>
      <c r="O415" s="41"/>
      <c r="P415" s="41"/>
    </row>
    <row r="416" spans="1:41" s="7" customFormat="1" ht="19.5" customHeight="1" hidden="1">
      <c r="A416" s="16"/>
      <c r="C416" s="7" t="s">
        <v>36</v>
      </c>
      <c r="D416" s="51">
        <f aca="true" t="shared" si="283" ref="D416:Q416">D$51</f>
        <v>0.1</v>
      </c>
      <c r="E416" s="51">
        <f t="shared" si="283"/>
        <v>0.1</v>
      </c>
      <c r="F416" s="51">
        <f t="shared" si="283"/>
        <v>0.1</v>
      </c>
      <c r="G416" s="51">
        <f t="shared" si="283"/>
        <v>0.1</v>
      </c>
      <c r="H416" s="51">
        <f t="shared" si="283"/>
        <v>0.1</v>
      </c>
      <c r="I416" s="51">
        <f t="shared" si="283"/>
        <v>0.1</v>
      </c>
      <c r="J416" s="51">
        <f t="shared" si="283"/>
        <v>0.1</v>
      </c>
      <c r="K416" s="51">
        <f t="shared" si="283"/>
        <v>0.1</v>
      </c>
      <c r="L416" s="51">
        <f t="shared" si="283"/>
        <v>0.1</v>
      </c>
      <c r="M416" s="51">
        <f t="shared" si="283"/>
        <v>0.1</v>
      </c>
      <c r="N416" s="51">
        <f t="shared" si="283"/>
        <v>0.1</v>
      </c>
      <c r="O416" s="51">
        <f t="shared" si="283"/>
        <v>0.1</v>
      </c>
      <c r="P416" s="51">
        <f t="shared" si="283"/>
        <v>0.1</v>
      </c>
      <c r="Q416" s="51">
        <f t="shared" si="283"/>
        <v>0.1</v>
      </c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</row>
    <row r="417" spans="1:17" ht="19.5" customHeight="1" hidden="1">
      <c r="A417" s="16"/>
      <c r="C417" s="21" t="s">
        <v>58</v>
      </c>
      <c r="D417" s="12">
        <v>1</v>
      </c>
      <c r="E417" s="12">
        <f>1/(1+D416)</f>
        <v>0.9090909090909091</v>
      </c>
      <c r="F417" s="12">
        <f aca="true" t="shared" si="284" ref="F417:Q417">E417/(1+E416)</f>
        <v>0.8264462809917354</v>
      </c>
      <c r="G417" s="98">
        <f t="shared" si="284"/>
        <v>0.7513148009015777</v>
      </c>
      <c r="H417" s="12">
        <f t="shared" si="284"/>
        <v>0.6830134553650705</v>
      </c>
      <c r="I417" s="12">
        <f t="shared" si="284"/>
        <v>0.6209213230591549</v>
      </c>
      <c r="J417" s="12">
        <f t="shared" si="284"/>
        <v>0.5644739300537771</v>
      </c>
      <c r="K417" s="12">
        <f t="shared" si="284"/>
        <v>0.5131581182307065</v>
      </c>
      <c r="L417" s="12">
        <f t="shared" si="284"/>
        <v>0.4665073802097331</v>
      </c>
      <c r="M417" s="98">
        <f t="shared" si="284"/>
        <v>0.4240976183724846</v>
      </c>
      <c r="N417" s="12">
        <f t="shared" si="284"/>
        <v>0.3855432894295314</v>
      </c>
      <c r="O417" s="12">
        <f t="shared" si="284"/>
        <v>0.35049389948139215</v>
      </c>
      <c r="P417" s="12">
        <f t="shared" si="284"/>
        <v>0.31863081771035645</v>
      </c>
      <c r="Q417" s="12">
        <f t="shared" si="284"/>
        <v>0.2896643797366877</v>
      </c>
    </row>
    <row r="418" spans="1:17" ht="19.5" customHeight="1" hidden="1">
      <c r="A418" s="45"/>
      <c r="B418" s="42"/>
      <c r="C418" s="42" t="s">
        <v>31</v>
      </c>
      <c r="D418" s="42"/>
      <c r="E418" s="42">
        <f aca="true" t="shared" si="285" ref="E418:P418">E408</f>
        <v>285.00000000000006</v>
      </c>
      <c r="F418" s="42">
        <f t="shared" si="285"/>
        <v>149</v>
      </c>
      <c r="G418" s="99">
        <f t="shared" si="285"/>
        <v>457.99999999999994</v>
      </c>
      <c r="H418" s="42">
        <f t="shared" si="285"/>
        <v>490.6500000000001</v>
      </c>
      <c r="I418" s="42">
        <f t="shared" si="285"/>
        <v>500.4629999999998</v>
      </c>
      <c r="J418" s="42">
        <f t="shared" si="285"/>
        <v>510.47226000000023</v>
      </c>
      <c r="K418" s="42">
        <f t="shared" si="285"/>
        <v>520.6817051999999</v>
      </c>
      <c r="L418" s="42">
        <f t="shared" si="285"/>
        <v>531.0953393039996</v>
      </c>
      <c r="M418" s="99">
        <f t="shared" si="285"/>
        <v>541.7172460900802</v>
      </c>
      <c r="N418" s="42">
        <f t="shared" si="285"/>
        <v>552.5515910118817</v>
      </c>
      <c r="O418" s="42">
        <f t="shared" si="285"/>
        <v>563.6026228321197</v>
      </c>
      <c r="P418" s="42">
        <f t="shared" si="285"/>
        <v>574.874675288761</v>
      </c>
      <c r="Q418" s="1">
        <f>P418*(1+O$5)+P418*(1+O$5)*(1+O$5)/(P416-O$5)</f>
        <v>8062.617320924873</v>
      </c>
    </row>
    <row r="419" spans="1:17" ht="19.5" customHeight="1" hidden="1">
      <c r="A419" s="16"/>
      <c r="C419" s="21" t="s">
        <v>38</v>
      </c>
      <c r="D419" s="1"/>
      <c r="E419" s="1">
        <f aca="true" t="shared" si="286" ref="E419:Q419">E418*E417</f>
        <v>259.0909090909091</v>
      </c>
      <c r="F419" s="1">
        <f t="shared" si="286"/>
        <v>123.14049586776858</v>
      </c>
      <c r="G419" s="29">
        <f t="shared" si="286"/>
        <v>344.10217881292255</v>
      </c>
      <c r="H419" s="1">
        <f t="shared" si="286"/>
        <v>335.1205518748719</v>
      </c>
      <c r="I419" s="1">
        <f t="shared" si="286"/>
        <v>310.7481481021537</v>
      </c>
      <c r="J419" s="1">
        <f t="shared" si="286"/>
        <v>288.1482827856336</v>
      </c>
      <c r="K419" s="1">
        <f t="shared" si="286"/>
        <v>267.1920440375874</v>
      </c>
      <c r="L419" s="1">
        <f t="shared" si="286"/>
        <v>247.75989538030814</v>
      </c>
      <c r="M419" s="29">
        <f t="shared" si="286"/>
        <v>229.74099389810414</v>
      </c>
      <c r="N419" s="1">
        <f t="shared" si="286"/>
        <v>213.03255797824195</v>
      </c>
      <c r="O419" s="1">
        <f t="shared" si="286"/>
        <v>197.5392810343699</v>
      </c>
      <c r="P419" s="1">
        <f t="shared" si="286"/>
        <v>183.17278786823354</v>
      </c>
      <c r="Q419" s="1">
        <f t="shared" si="286"/>
        <v>2335.4530453199777</v>
      </c>
    </row>
    <row r="420" spans="1:17" ht="19.5" customHeight="1">
      <c r="A420" s="16"/>
      <c r="B420" s="4" t="s">
        <v>80</v>
      </c>
      <c r="C420" s="42" t="s">
        <v>81</v>
      </c>
      <c r="D420" s="18">
        <f>SUM(E419:$Q419)/D417</f>
        <v>5334.241172051083</v>
      </c>
      <c r="E420" s="18">
        <f>SUM(F419:$Q419)/E417</f>
        <v>5582.6652892561915</v>
      </c>
      <c r="F420" s="18">
        <f>SUM(G419:$Q419)/F417</f>
        <v>5991.93181818181</v>
      </c>
      <c r="G420" s="91">
        <f>SUM(H419:$Q419)/G417</f>
        <v>6133.124999999992</v>
      </c>
      <c r="H420" s="18">
        <f>SUM(I419:$Q419)/H417</f>
        <v>6255.787499999991</v>
      </c>
      <c r="I420" s="18">
        <f>SUM(J419:$Q419)/I417</f>
        <v>6380.903249999991</v>
      </c>
      <c r="J420" s="18">
        <f>SUM(K419:$Q419)/J417</f>
        <v>6508.521314999992</v>
      </c>
      <c r="K420" s="18">
        <f>SUM(L419:$Q419)/K417</f>
        <v>6638.691741299992</v>
      </c>
      <c r="L420" s="18">
        <f>SUM(M419:$Q419)/L417</f>
        <v>6771.465576125991</v>
      </c>
      <c r="M420" s="91">
        <f>SUM(N419:$Q419)/M417</f>
        <v>6906.894887648511</v>
      </c>
      <c r="N420" s="18">
        <f>SUM(O419:$Q419)/N417</f>
        <v>7045.03278540148</v>
      </c>
      <c r="O420" s="18">
        <f>SUM(P419:$Q419)/O417</f>
        <v>7185.9334411095115</v>
      </c>
      <c r="P420" s="18">
        <f>SUM(Q419:$Q419)/P417</f>
        <v>7329.652109931702</v>
      </c>
      <c r="Q420" s="18"/>
    </row>
    <row r="421" spans="1:17" ht="12.75" customHeight="1">
      <c r="A421" s="16"/>
      <c r="B421" s="4" t="s">
        <v>48</v>
      </c>
      <c r="C421" s="39" t="s">
        <v>82</v>
      </c>
      <c r="D421" s="38">
        <f aca="true" t="shared" si="287" ref="D421:P421">D420-D$62</f>
        <v>3834.2411720510845</v>
      </c>
      <c r="E421" s="38">
        <f t="shared" si="287"/>
        <v>4082.6652892561933</v>
      </c>
      <c r="F421" s="38">
        <f t="shared" si="287"/>
        <v>4491.931818181812</v>
      </c>
      <c r="G421" s="38">
        <f t="shared" si="287"/>
        <v>4633.124999999994</v>
      </c>
      <c r="H421" s="38">
        <f t="shared" si="287"/>
        <v>4725.787499999993</v>
      </c>
      <c r="I421" s="38">
        <f t="shared" si="287"/>
        <v>4820.303249999993</v>
      </c>
      <c r="J421" s="38">
        <f t="shared" si="287"/>
        <v>4916.709314999994</v>
      </c>
      <c r="K421" s="38">
        <f t="shared" si="287"/>
        <v>5015.043501299993</v>
      </c>
      <c r="L421" s="38">
        <f t="shared" si="287"/>
        <v>5115.344371325993</v>
      </c>
      <c r="M421" s="38">
        <f t="shared" si="287"/>
        <v>5217.651258752512</v>
      </c>
      <c r="N421" s="38">
        <f t="shared" si="287"/>
        <v>5322.004283927562</v>
      </c>
      <c r="O421" s="38">
        <f t="shared" si="287"/>
        <v>5428.444369606114</v>
      </c>
      <c r="P421" s="38">
        <f t="shared" si="287"/>
        <v>5537.013256998238</v>
      </c>
      <c r="Q421" s="20"/>
    </row>
    <row r="422" spans="1:17" ht="12.75" customHeight="1">
      <c r="A422" s="16"/>
      <c r="C422" s="56"/>
      <c r="D422" s="57"/>
      <c r="E422" s="57"/>
      <c r="F422" s="116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88"/>
    </row>
    <row r="423" spans="1:41" s="7" customFormat="1" ht="12" customHeight="1">
      <c r="A423" s="45"/>
      <c r="B423" s="39"/>
      <c r="C423" s="39" t="s">
        <v>87</v>
      </c>
      <c r="D423" s="39"/>
      <c r="E423" s="59">
        <f aca="true" t="shared" si="288" ref="E423:Q423">E$41-D420*(D379-D$49)</f>
        <v>71.63035311795667</v>
      </c>
      <c r="F423" s="59">
        <f t="shared" si="288"/>
        <v>-74.30661157024772</v>
      </c>
      <c r="G423" s="59">
        <f t="shared" si="288"/>
        <v>218.32272727272746</v>
      </c>
      <c r="H423" s="59">
        <f t="shared" si="288"/>
        <v>245.32500000000036</v>
      </c>
      <c r="I423" s="59">
        <f t="shared" si="288"/>
        <v>250.23150000000007</v>
      </c>
      <c r="J423" s="59">
        <f t="shared" si="288"/>
        <v>255.23613000000046</v>
      </c>
      <c r="K423" s="59">
        <f t="shared" si="288"/>
        <v>260.3408526000002</v>
      </c>
      <c r="L423" s="59">
        <f t="shared" si="288"/>
        <v>265.5476696519998</v>
      </c>
      <c r="M423" s="59">
        <f t="shared" si="288"/>
        <v>270.8586230450404</v>
      </c>
      <c r="N423" s="59">
        <f t="shared" si="288"/>
        <v>276.2757955059412</v>
      </c>
      <c r="O423" s="59">
        <f t="shared" si="288"/>
        <v>281.8013114160604</v>
      </c>
      <c r="P423" s="59">
        <f t="shared" si="288"/>
        <v>287.4373376443805</v>
      </c>
      <c r="Q423" s="59">
        <f t="shared" si="288"/>
        <v>293.18608439726813</v>
      </c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</row>
    <row r="424" spans="1:17" ht="12" customHeight="1">
      <c r="A424" s="45"/>
      <c r="B424" s="42"/>
      <c r="C424" s="39" t="s">
        <v>86</v>
      </c>
      <c r="D424" s="42"/>
      <c r="E424" s="59">
        <f aca="true" t="shared" si="289" ref="E424:Q424">E$40-D421*(D372-D$49)</f>
        <v>-18.369646882043327</v>
      </c>
      <c r="F424" s="59">
        <f t="shared" si="289"/>
        <v>-164.3066115702477</v>
      </c>
      <c r="G424" s="59">
        <f t="shared" si="289"/>
        <v>128.32272727272758</v>
      </c>
      <c r="H424" s="59">
        <f t="shared" si="289"/>
        <v>185.3250000000004</v>
      </c>
      <c r="I424" s="59">
        <f t="shared" si="289"/>
        <v>189.03150000000034</v>
      </c>
      <c r="J424" s="59">
        <f t="shared" si="289"/>
        <v>192.8121300000005</v>
      </c>
      <c r="K424" s="59">
        <f t="shared" si="289"/>
        <v>196.66837260000028</v>
      </c>
      <c r="L424" s="59">
        <f t="shared" si="289"/>
        <v>200.6017400519999</v>
      </c>
      <c r="M424" s="59">
        <f t="shared" si="289"/>
        <v>204.6137748530406</v>
      </c>
      <c r="N424" s="59">
        <f t="shared" si="289"/>
        <v>208.7060503501013</v>
      </c>
      <c r="O424" s="59">
        <f t="shared" si="289"/>
        <v>212.8801713571039</v>
      </c>
      <c r="P424" s="59">
        <f t="shared" si="289"/>
        <v>217.13777478424473</v>
      </c>
      <c r="Q424" s="59">
        <f t="shared" si="289"/>
        <v>221.4805302799295</v>
      </c>
    </row>
    <row r="425" spans="1:16" ht="14.25" customHeight="1">
      <c r="A425" s="16"/>
      <c r="B425" s="104"/>
      <c r="C425" s="92"/>
      <c r="D425" s="105"/>
      <c r="E425" s="105"/>
      <c r="F425" s="105"/>
      <c r="G425" s="50"/>
      <c r="H425" s="105"/>
      <c r="I425" s="105"/>
      <c r="J425" s="43"/>
      <c r="K425" s="43"/>
      <c r="L425" s="43"/>
      <c r="M425" s="102"/>
      <c r="N425" s="43"/>
      <c r="O425" s="43"/>
      <c r="P425" s="43"/>
    </row>
    <row r="426" spans="1:17" ht="14.25" customHeight="1" hidden="1">
      <c r="A426" s="16"/>
      <c r="B426" s="104"/>
      <c r="C426" s="4" t="s">
        <v>2</v>
      </c>
      <c r="D426" s="105">
        <f aca="true" t="shared" si="290" ref="D426:P426">D$49</f>
        <v>0.06</v>
      </c>
      <c r="E426" s="105">
        <f t="shared" si="290"/>
        <v>0.06</v>
      </c>
      <c r="F426" s="105">
        <f t="shared" si="290"/>
        <v>0.06</v>
      </c>
      <c r="G426" s="105">
        <f t="shared" si="290"/>
        <v>0.06</v>
      </c>
      <c r="H426" s="105">
        <f t="shared" si="290"/>
        <v>0.06</v>
      </c>
      <c r="I426" s="105">
        <f t="shared" si="290"/>
        <v>0.06</v>
      </c>
      <c r="J426" s="105">
        <f t="shared" si="290"/>
        <v>0.06</v>
      </c>
      <c r="K426" s="105">
        <f t="shared" si="290"/>
        <v>0.06</v>
      </c>
      <c r="L426" s="105">
        <f t="shared" si="290"/>
        <v>0.06</v>
      </c>
      <c r="M426" s="105">
        <f t="shared" si="290"/>
        <v>0.06</v>
      </c>
      <c r="N426" s="105">
        <f t="shared" si="290"/>
        <v>0.06</v>
      </c>
      <c r="O426" s="105">
        <f t="shared" si="290"/>
        <v>0.06</v>
      </c>
      <c r="P426" s="105">
        <f t="shared" si="290"/>
        <v>0.06</v>
      </c>
      <c r="Q426" s="49">
        <f>P426</f>
        <v>0.06</v>
      </c>
    </row>
    <row r="427" spans="1:17" ht="14.25" customHeight="1" hidden="1">
      <c r="A427" s="16"/>
      <c r="C427" s="158" t="s">
        <v>91</v>
      </c>
      <c r="D427" s="12">
        <v>1</v>
      </c>
      <c r="E427" s="12">
        <f>1/(1+D426)</f>
        <v>0.9433962264150942</v>
      </c>
      <c r="F427" s="12">
        <f aca="true" t="shared" si="291" ref="F427:Q427">E427/(1+E426)</f>
        <v>0.8899964400142398</v>
      </c>
      <c r="G427" s="98">
        <f t="shared" si="291"/>
        <v>0.8396192830323017</v>
      </c>
      <c r="H427" s="12">
        <f t="shared" si="291"/>
        <v>0.7920936632380204</v>
      </c>
      <c r="I427" s="12">
        <f t="shared" si="291"/>
        <v>0.747258172866057</v>
      </c>
      <c r="J427" s="12">
        <f t="shared" si="291"/>
        <v>0.7049605404396764</v>
      </c>
      <c r="K427" s="12">
        <f t="shared" si="291"/>
        <v>0.6650571136223362</v>
      </c>
      <c r="L427" s="12">
        <f t="shared" si="291"/>
        <v>0.6274123713418266</v>
      </c>
      <c r="M427" s="98">
        <f t="shared" si="291"/>
        <v>0.5918984635300251</v>
      </c>
      <c r="N427" s="12">
        <f t="shared" si="291"/>
        <v>0.558394776915118</v>
      </c>
      <c r="O427" s="12">
        <f t="shared" si="291"/>
        <v>0.5267875253916207</v>
      </c>
      <c r="P427" s="12">
        <f t="shared" si="291"/>
        <v>0.4969693635770006</v>
      </c>
      <c r="Q427" s="12">
        <f t="shared" si="291"/>
        <v>0.4688390222424534</v>
      </c>
    </row>
    <row r="428" spans="1:17" ht="14.25" customHeight="1" hidden="1">
      <c r="A428" s="45"/>
      <c r="B428" s="42"/>
      <c r="C428" s="39" t="s">
        <v>87</v>
      </c>
      <c r="D428" s="42"/>
      <c r="E428" s="23">
        <f>E423</f>
        <v>71.63035311795667</v>
      </c>
      <c r="F428" s="23">
        <f aca="true" t="shared" si="292" ref="F428:P428">F423</f>
        <v>-74.30661157024772</v>
      </c>
      <c r="G428" s="23">
        <f t="shared" si="292"/>
        <v>218.32272727272746</v>
      </c>
      <c r="H428" s="23">
        <f t="shared" si="292"/>
        <v>245.32500000000036</v>
      </c>
      <c r="I428" s="23">
        <f t="shared" si="292"/>
        <v>250.23150000000007</v>
      </c>
      <c r="J428" s="23">
        <f t="shared" si="292"/>
        <v>255.23613000000046</v>
      </c>
      <c r="K428" s="23">
        <f t="shared" si="292"/>
        <v>260.3408526000002</v>
      </c>
      <c r="L428" s="23">
        <f t="shared" si="292"/>
        <v>265.5476696519998</v>
      </c>
      <c r="M428" s="23">
        <f t="shared" si="292"/>
        <v>270.8586230450404</v>
      </c>
      <c r="N428" s="23">
        <f t="shared" si="292"/>
        <v>276.2757955059412</v>
      </c>
      <c r="O428" s="23">
        <f t="shared" si="292"/>
        <v>281.8013114160604</v>
      </c>
      <c r="P428" s="23">
        <f t="shared" si="292"/>
        <v>287.4373376443805</v>
      </c>
      <c r="Q428" s="1">
        <f>P428*(1+O$5)+P428*(1+O$5)*(1+O$5)/(P426-O$5)</f>
        <v>7769.4312365276055</v>
      </c>
    </row>
    <row r="429" spans="1:17" ht="14.25" customHeight="1" hidden="1">
      <c r="A429" s="16"/>
      <c r="C429" s="21" t="s">
        <v>38</v>
      </c>
      <c r="D429" s="1"/>
      <c r="E429" s="1">
        <f aca="true" t="shared" si="293" ref="E429:Q429">E428*E427</f>
        <v>67.575804828261</v>
      </c>
      <c r="F429" s="1">
        <f t="shared" si="293"/>
        <v>-66.1326197670414</v>
      </c>
      <c r="G429" s="29">
        <f t="shared" si="293"/>
        <v>183.30797174238418</v>
      </c>
      <c r="H429" s="1">
        <f t="shared" si="293"/>
        <v>194.32037793386766</v>
      </c>
      <c r="I429" s="1">
        <f t="shared" si="293"/>
        <v>186.9875334835328</v>
      </c>
      <c r="J429" s="1">
        <f t="shared" si="293"/>
        <v>179.9314001445318</v>
      </c>
      <c r="K429" s="1">
        <f t="shared" si="293"/>
        <v>173.1415359881342</v>
      </c>
      <c r="L429" s="1">
        <f t="shared" si="293"/>
        <v>166.6078931206572</v>
      </c>
      <c r="M429" s="29">
        <f t="shared" si="293"/>
        <v>160.32080281421767</v>
      </c>
      <c r="N429" s="1">
        <f t="shared" si="293"/>
        <v>154.27096119858678</v>
      </c>
      <c r="O429" s="1">
        <f t="shared" si="293"/>
        <v>148.4494154929799</v>
      </c>
      <c r="P429" s="1">
        <f t="shared" si="293"/>
        <v>142.8475507573952</v>
      </c>
      <c r="Q429" s="1">
        <f t="shared" si="293"/>
        <v>3642.612544313578</v>
      </c>
    </row>
    <row r="430" spans="1:16" ht="14.25" customHeight="1">
      <c r="A430" s="16"/>
      <c r="B430" s="157" t="s">
        <v>89</v>
      </c>
      <c r="C430" s="156" t="s">
        <v>88</v>
      </c>
      <c r="D430" s="18">
        <f>SUM(E429:$Q429)/D427</f>
        <v>5334.2411720510845</v>
      </c>
      <c r="E430" s="18">
        <f>SUM(F429:$Q429)/E427</f>
        <v>5582.665289256194</v>
      </c>
      <c r="F430" s="18">
        <f>SUM(G429:$Q429)/F427</f>
        <v>5991.931818181813</v>
      </c>
      <c r="G430" s="91">
        <f>SUM(H429:$Q429)/G427</f>
        <v>6133.1249999999945</v>
      </c>
      <c r="H430" s="18">
        <f>SUM(I429:$Q429)/H427</f>
        <v>6255.787499999994</v>
      </c>
      <c r="I430" s="18">
        <f>SUM(J429:$Q429)/I427</f>
        <v>6380.903249999994</v>
      </c>
      <c r="J430" s="18">
        <f>SUM(K429:$Q429)/J427</f>
        <v>6508.521314999994</v>
      </c>
      <c r="K430" s="18">
        <f>SUM(L429:$Q429)/K427</f>
        <v>6638.691741299994</v>
      </c>
      <c r="L430" s="18">
        <f>SUM(M429:$Q429)/L427</f>
        <v>6771.465576125993</v>
      </c>
      <c r="M430" s="91">
        <f>SUM(N429:$Q429)/M427</f>
        <v>6906.894887648513</v>
      </c>
      <c r="N430" s="18">
        <f>SUM(O429:$Q429)/N427</f>
        <v>7045.032785401483</v>
      </c>
      <c r="O430" s="18">
        <f>SUM(P429:$Q429)/O427</f>
        <v>7185.933441109512</v>
      </c>
      <c r="P430" s="18">
        <f>SUM(Q429:$Q429)/P427</f>
        <v>7329.652109931702</v>
      </c>
    </row>
    <row r="431" spans="1:16" ht="14.25" customHeight="1">
      <c r="A431" s="16"/>
      <c r="B431" s="4" t="s">
        <v>48</v>
      </c>
      <c r="C431" s="39" t="s">
        <v>90</v>
      </c>
      <c r="D431" s="38">
        <f aca="true" t="shared" si="294" ref="D431:P431">D430-D$62</f>
        <v>3834.2411720510863</v>
      </c>
      <c r="E431" s="38">
        <f t="shared" si="294"/>
        <v>4082.665289256196</v>
      </c>
      <c r="F431" s="38">
        <f t="shared" si="294"/>
        <v>4491.931818181814</v>
      </c>
      <c r="G431" s="38">
        <f t="shared" si="294"/>
        <v>4633.124999999996</v>
      </c>
      <c r="H431" s="38">
        <f t="shared" si="294"/>
        <v>4725.787499999996</v>
      </c>
      <c r="I431" s="38">
        <f t="shared" si="294"/>
        <v>4820.303249999995</v>
      </c>
      <c r="J431" s="38">
        <f t="shared" si="294"/>
        <v>4916.7093149999955</v>
      </c>
      <c r="K431" s="38">
        <f t="shared" si="294"/>
        <v>5015.043501299995</v>
      </c>
      <c r="L431" s="38">
        <f t="shared" si="294"/>
        <v>5115.344371325995</v>
      </c>
      <c r="M431" s="38">
        <f t="shared" si="294"/>
        <v>5217.651258752514</v>
      </c>
      <c r="N431" s="38">
        <f t="shared" si="294"/>
        <v>5322.004283927565</v>
      </c>
      <c r="O431" s="38">
        <f t="shared" si="294"/>
        <v>5428.444369606115</v>
      </c>
      <c r="P431" s="38">
        <f t="shared" si="294"/>
        <v>5537.013256998238</v>
      </c>
    </row>
    <row r="432" spans="1:16" ht="14.25" customHeight="1">
      <c r="A432" s="16"/>
      <c r="B432" s="104"/>
      <c r="C432" s="92"/>
      <c r="D432" s="105"/>
      <c r="E432" s="105"/>
      <c r="F432" s="105"/>
      <c r="G432" s="50"/>
      <c r="H432" s="105"/>
      <c r="I432" s="105"/>
      <c r="J432" s="43"/>
      <c r="K432" s="43"/>
      <c r="L432" s="43"/>
      <c r="M432" s="102"/>
      <c r="N432" s="43"/>
      <c r="O432" s="43"/>
      <c r="P432" s="43"/>
    </row>
    <row r="433" spans="1:17" ht="14.25" customHeight="1" hidden="1">
      <c r="A433" s="16"/>
      <c r="B433" s="104"/>
      <c r="C433" s="4" t="s">
        <v>2</v>
      </c>
      <c r="D433" s="105">
        <f aca="true" t="shared" si="295" ref="D433:P433">D$49</f>
        <v>0.06</v>
      </c>
      <c r="E433" s="105">
        <f t="shared" si="295"/>
        <v>0.06</v>
      </c>
      <c r="F433" s="105">
        <f t="shared" si="295"/>
        <v>0.06</v>
      </c>
      <c r="G433" s="105">
        <f t="shared" si="295"/>
        <v>0.06</v>
      </c>
      <c r="H433" s="105">
        <f t="shared" si="295"/>
        <v>0.06</v>
      </c>
      <c r="I433" s="105">
        <f t="shared" si="295"/>
        <v>0.06</v>
      </c>
      <c r="J433" s="105">
        <f t="shared" si="295"/>
        <v>0.06</v>
      </c>
      <c r="K433" s="105">
        <f t="shared" si="295"/>
        <v>0.06</v>
      </c>
      <c r="L433" s="105">
        <f t="shared" si="295"/>
        <v>0.06</v>
      </c>
      <c r="M433" s="105">
        <f t="shared" si="295"/>
        <v>0.06</v>
      </c>
      <c r="N433" s="105">
        <f t="shared" si="295"/>
        <v>0.06</v>
      </c>
      <c r="O433" s="105">
        <f t="shared" si="295"/>
        <v>0.06</v>
      </c>
      <c r="P433" s="105">
        <f t="shared" si="295"/>
        <v>0.06</v>
      </c>
      <c r="Q433" s="49">
        <f>P433</f>
        <v>0.06</v>
      </c>
    </row>
    <row r="434" spans="1:17" ht="14.25" customHeight="1" hidden="1">
      <c r="A434" s="16"/>
      <c r="C434" s="158" t="s">
        <v>91</v>
      </c>
      <c r="D434" s="12">
        <v>1</v>
      </c>
      <c r="E434" s="12">
        <f>1/(1+D433)</f>
        <v>0.9433962264150942</v>
      </c>
      <c r="F434" s="12">
        <f aca="true" t="shared" si="296" ref="F434:Q434">E434/(1+E433)</f>
        <v>0.8899964400142398</v>
      </c>
      <c r="G434" s="98">
        <f t="shared" si="296"/>
        <v>0.8396192830323017</v>
      </c>
      <c r="H434" s="12">
        <f t="shared" si="296"/>
        <v>0.7920936632380204</v>
      </c>
      <c r="I434" s="12">
        <f t="shared" si="296"/>
        <v>0.747258172866057</v>
      </c>
      <c r="J434" s="12">
        <f t="shared" si="296"/>
        <v>0.7049605404396764</v>
      </c>
      <c r="K434" s="12">
        <f t="shared" si="296"/>
        <v>0.6650571136223362</v>
      </c>
      <c r="L434" s="12">
        <f t="shared" si="296"/>
        <v>0.6274123713418266</v>
      </c>
      <c r="M434" s="98">
        <f t="shared" si="296"/>
        <v>0.5918984635300251</v>
      </c>
      <c r="N434" s="12">
        <f t="shared" si="296"/>
        <v>0.558394776915118</v>
      </c>
      <c r="O434" s="12">
        <f t="shared" si="296"/>
        <v>0.5267875253916207</v>
      </c>
      <c r="P434" s="12">
        <f t="shared" si="296"/>
        <v>0.4969693635770006</v>
      </c>
      <c r="Q434" s="12">
        <f t="shared" si="296"/>
        <v>0.4688390222424534</v>
      </c>
    </row>
    <row r="435" spans="1:17" ht="14.25" customHeight="1" hidden="1">
      <c r="A435" s="45"/>
      <c r="B435" s="42"/>
      <c r="C435" s="39" t="s">
        <v>86</v>
      </c>
      <c r="D435" s="42"/>
      <c r="E435" s="23">
        <f>E424</f>
        <v>-18.369646882043327</v>
      </c>
      <c r="F435" s="23">
        <f aca="true" t="shared" si="297" ref="F435:P435">F424</f>
        <v>-164.3066115702477</v>
      </c>
      <c r="G435" s="23">
        <f t="shared" si="297"/>
        <v>128.32272727272758</v>
      </c>
      <c r="H435" s="23">
        <f t="shared" si="297"/>
        <v>185.3250000000004</v>
      </c>
      <c r="I435" s="23">
        <f t="shared" si="297"/>
        <v>189.03150000000034</v>
      </c>
      <c r="J435" s="23">
        <f t="shared" si="297"/>
        <v>192.8121300000005</v>
      </c>
      <c r="K435" s="23">
        <f t="shared" si="297"/>
        <v>196.66837260000028</v>
      </c>
      <c r="L435" s="23">
        <f t="shared" si="297"/>
        <v>200.6017400519999</v>
      </c>
      <c r="M435" s="23">
        <f t="shared" si="297"/>
        <v>204.6137748530406</v>
      </c>
      <c r="N435" s="23">
        <f t="shared" si="297"/>
        <v>208.7060503501013</v>
      </c>
      <c r="O435" s="23">
        <f t="shared" si="297"/>
        <v>212.8801713571039</v>
      </c>
      <c r="P435" s="23">
        <f t="shared" si="297"/>
        <v>217.13777478424473</v>
      </c>
      <c r="Q435" s="1">
        <f>P435*(1+O$5)+P435*(1+O$5)*(1+O$5)/(P433-O$5)</f>
        <v>5869.234052418136</v>
      </c>
    </row>
    <row r="436" spans="1:17" ht="14.25" customHeight="1" hidden="1">
      <c r="A436" s="16"/>
      <c r="C436" s="158" t="s">
        <v>54</v>
      </c>
      <c r="D436" s="1"/>
      <c r="E436" s="1">
        <f aca="true" t="shared" si="298" ref="E436:Q436">E435*E434</f>
        <v>-17.329855549097477</v>
      </c>
      <c r="F436" s="1">
        <f t="shared" si="298"/>
        <v>-146.23229936832297</v>
      </c>
      <c r="G436" s="29">
        <f t="shared" si="298"/>
        <v>107.74223626947712</v>
      </c>
      <c r="H436" s="1">
        <f t="shared" si="298"/>
        <v>146.79475813958643</v>
      </c>
      <c r="I436" s="1">
        <f t="shared" si="298"/>
        <v>141.25533330413032</v>
      </c>
      <c r="J436" s="1">
        <f t="shared" si="298"/>
        <v>135.9249433681255</v>
      </c>
      <c r="K436" s="1">
        <f t="shared" si="298"/>
        <v>130.79570022215833</v>
      </c>
      <c r="L436" s="1">
        <f t="shared" si="298"/>
        <v>125.86001342132194</v>
      </c>
      <c r="M436" s="29">
        <f t="shared" si="298"/>
        <v>121.11057895259322</v>
      </c>
      <c r="N436" s="1">
        <f t="shared" si="298"/>
        <v>116.54036842608019</v>
      </c>
      <c r="O436" s="1">
        <f t="shared" si="298"/>
        <v>112.14261867415293</v>
      </c>
      <c r="P436" s="1">
        <f t="shared" si="298"/>
        <v>107.9108217430522</v>
      </c>
      <c r="Q436" s="1">
        <f t="shared" si="298"/>
        <v>2751.7259544478316</v>
      </c>
    </row>
    <row r="437" spans="1:16" ht="14.25" customHeight="1">
      <c r="A437" s="16"/>
      <c r="B437" s="157"/>
      <c r="C437" s="156" t="s">
        <v>92</v>
      </c>
      <c r="D437" s="52">
        <f>SUM(E436:$Q436)/D434</f>
        <v>3834.241172051089</v>
      </c>
      <c r="E437" s="52">
        <f>SUM(F436:$Q436)/E434</f>
        <v>4082.665289256198</v>
      </c>
      <c r="F437" s="52">
        <f>SUM(G436:$Q436)/F434</f>
        <v>4491.931818181818</v>
      </c>
      <c r="G437" s="159">
        <f>SUM(H436:$Q436)/G434</f>
        <v>4633.124999999999</v>
      </c>
      <c r="H437" s="52">
        <f>SUM(I436:$Q436)/H434</f>
        <v>4725.787499999999</v>
      </c>
      <c r="I437" s="52">
        <f>SUM(J436:$Q436)/I434</f>
        <v>4820.30325</v>
      </c>
      <c r="J437" s="52">
        <f>SUM(K436:$Q436)/J434</f>
        <v>4916.709314999999</v>
      </c>
      <c r="K437" s="52">
        <f>SUM(L436:$Q436)/K434</f>
        <v>5015.043501299999</v>
      </c>
      <c r="L437" s="52">
        <f>SUM(M436:$Q436)/L434</f>
        <v>5115.3443713259985</v>
      </c>
      <c r="M437" s="159">
        <f>SUM(N436:$Q436)/M434</f>
        <v>5217.6512587525185</v>
      </c>
      <c r="N437" s="52">
        <f>SUM(O436:$Q436)/N434</f>
        <v>5322.004283927568</v>
      </c>
      <c r="O437" s="52">
        <f>SUM(P436:$Q436)/O434</f>
        <v>5428.444369606119</v>
      </c>
      <c r="P437" s="52">
        <f>SUM(Q436:$Q436)/P434</f>
        <v>5537.013256998242</v>
      </c>
    </row>
    <row r="438" ht="10.5">
      <c r="D438" s="6">
        <f>(D437+D431+D421+D414+D405+D400+D392+D384+D376+D368)/10</f>
        <v>3834.2411720510877</v>
      </c>
    </row>
    <row r="439" spans="2:17" ht="10.5">
      <c r="B439" s="104" t="s">
        <v>95</v>
      </c>
      <c r="C439" s="104" t="s">
        <v>95</v>
      </c>
      <c r="D439" s="104" t="s">
        <v>95</v>
      </c>
      <c r="E439" s="104" t="s">
        <v>95</v>
      </c>
      <c r="F439" s="104" t="s">
        <v>95</v>
      </c>
      <c r="G439" s="104" t="s">
        <v>95</v>
      </c>
      <c r="H439" s="104" t="s">
        <v>95</v>
      </c>
      <c r="I439" s="104" t="s">
        <v>95</v>
      </c>
      <c r="J439" s="104" t="s">
        <v>95</v>
      </c>
      <c r="K439" s="104" t="s">
        <v>95</v>
      </c>
      <c r="L439" s="104" t="s">
        <v>95</v>
      </c>
      <c r="M439" s="104" t="s">
        <v>95</v>
      </c>
      <c r="N439" s="104" t="s">
        <v>95</v>
      </c>
      <c r="O439" s="104" t="s">
        <v>95</v>
      </c>
      <c r="P439" s="104" t="s">
        <v>95</v>
      </c>
      <c r="Q439" s="104" t="s">
        <v>95</v>
      </c>
    </row>
    <row r="440" spans="1:16" ht="12.75" customHeight="1">
      <c r="A440" s="16"/>
      <c r="B440" s="104"/>
      <c r="C440" s="92"/>
      <c r="D440" s="105"/>
      <c r="E440" s="105"/>
      <c r="F440" s="105"/>
      <c r="G440" s="50"/>
      <c r="H440" s="105"/>
      <c r="I440" s="105"/>
      <c r="J440" s="43"/>
      <c r="K440" s="43"/>
      <c r="L440" s="43"/>
      <c r="M440" s="102"/>
      <c r="N440" s="43"/>
      <c r="O440" s="43"/>
      <c r="P440" s="43"/>
    </row>
    <row r="441" spans="1:41" s="7" customFormat="1" ht="15.75" customHeight="1">
      <c r="A441" s="55"/>
      <c r="B441" s="56"/>
      <c r="C441" s="56"/>
      <c r="D441" s="92"/>
      <c r="E441" s="61"/>
      <c r="F441" s="155" t="s">
        <v>98</v>
      </c>
      <c r="G441" s="62"/>
      <c r="H441" s="61"/>
      <c r="I441" s="61"/>
      <c r="J441" s="61"/>
      <c r="K441" s="61"/>
      <c r="L441" s="61"/>
      <c r="M441" s="61"/>
      <c r="N441" s="61"/>
      <c r="O441" s="61"/>
      <c r="P441" s="61"/>
      <c r="Q441" s="4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</row>
    <row r="442" spans="1:41" s="7" customFormat="1" ht="12" customHeight="1">
      <c r="A442" s="55"/>
      <c r="B442" s="56"/>
      <c r="C442" s="56"/>
      <c r="D442" s="92"/>
      <c r="E442" s="61"/>
      <c r="F442" s="61"/>
      <c r="G442" s="62"/>
      <c r="H442" s="61"/>
      <c r="I442" s="61"/>
      <c r="J442" s="61"/>
      <c r="K442" s="61"/>
      <c r="L442" s="61"/>
      <c r="M442" s="61"/>
      <c r="N442" s="61"/>
      <c r="O442" s="61"/>
      <c r="P442" s="61"/>
      <c r="Q442" s="4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</row>
    <row r="443" spans="1:17" ht="12" customHeight="1" thickBot="1">
      <c r="A443" s="16"/>
      <c r="B443"/>
      <c r="C443"/>
      <c r="D443" s="66">
        <v>0</v>
      </c>
      <c r="E443" s="66">
        <v>1</v>
      </c>
      <c r="F443" s="66">
        <f aca="true" t="shared" si="299" ref="F443:Q443">E443+1</f>
        <v>2</v>
      </c>
      <c r="G443" s="150">
        <f t="shared" si="299"/>
        <v>3</v>
      </c>
      <c r="H443" s="66">
        <f t="shared" si="299"/>
        <v>4</v>
      </c>
      <c r="I443" s="103">
        <f t="shared" si="299"/>
        <v>5</v>
      </c>
      <c r="J443" s="103">
        <f t="shared" si="299"/>
        <v>6</v>
      </c>
      <c r="K443" s="103">
        <f t="shared" si="299"/>
        <v>7</v>
      </c>
      <c r="L443" s="103">
        <f t="shared" si="299"/>
        <v>8</v>
      </c>
      <c r="M443" s="111">
        <f t="shared" si="299"/>
        <v>9</v>
      </c>
      <c r="N443" s="103">
        <f t="shared" si="299"/>
        <v>10</v>
      </c>
      <c r="O443" s="103">
        <f t="shared" si="299"/>
        <v>11</v>
      </c>
      <c r="P443" s="103">
        <f t="shared" si="299"/>
        <v>12</v>
      </c>
      <c r="Q443" s="103">
        <f t="shared" si="299"/>
        <v>13</v>
      </c>
    </row>
    <row r="444" spans="1:17" ht="12" customHeight="1">
      <c r="A444" s="16"/>
      <c r="C444" s="4" t="s">
        <v>35</v>
      </c>
      <c r="D444" s="43">
        <f>$D$1</f>
        <v>1</v>
      </c>
      <c r="E444" s="43">
        <f aca="true" t="shared" si="300" ref="E444:Q444">D444</f>
        <v>1</v>
      </c>
      <c r="F444" s="43">
        <f t="shared" si="300"/>
        <v>1</v>
      </c>
      <c r="G444" s="143">
        <f t="shared" si="300"/>
        <v>1</v>
      </c>
      <c r="H444" s="43">
        <f t="shared" si="300"/>
        <v>1</v>
      </c>
      <c r="I444" s="43">
        <f t="shared" si="300"/>
        <v>1</v>
      </c>
      <c r="J444" s="43">
        <f t="shared" si="300"/>
        <v>1</v>
      </c>
      <c r="K444" s="43">
        <f t="shared" si="300"/>
        <v>1</v>
      </c>
      <c r="L444" s="43">
        <f t="shared" si="300"/>
        <v>1</v>
      </c>
      <c r="M444" s="8">
        <f t="shared" si="300"/>
        <v>1</v>
      </c>
      <c r="N444" s="43">
        <f t="shared" si="300"/>
        <v>1</v>
      </c>
      <c r="O444" s="43">
        <f t="shared" si="300"/>
        <v>1</v>
      </c>
      <c r="P444" s="8">
        <f t="shared" si="300"/>
        <v>1</v>
      </c>
      <c r="Q444" s="161">
        <f t="shared" si="300"/>
        <v>1</v>
      </c>
    </row>
    <row r="445" spans="1:17" ht="12" customHeight="1">
      <c r="A445" s="16"/>
      <c r="C445" s="4" t="s">
        <v>2</v>
      </c>
      <c r="D445" s="11">
        <f>$D$2</f>
        <v>0.06</v>
      </c>
      <c r="E445" s="11">
        <f aca="true" t="shared" si="301" ref="E445:Q445">D445</f>
        <v>0.06</v>
      </c>
      <c r="F445" s="11">
        <f t="shared" si="301"/>
        <v>0.06</v>
      </c>
      <c r="G445" s="54">
        <f t="shared" si="301"/>
        <v>0.06</v>
      </c>
      <c r="H445" s="11">
        <f t="shared" si="301"/>
        <v>0.06</v>
      </c>
      <c r="I445" s="11">
        <f t="shared" si="301"/>
        <v>0.06</v>
      </c>
      <c r="J445" s="11">
        <f t="shared" si="301"/>
        <v>0.06</v>
      </c>
      <c r="K445" s="11">
        <f t="shared" si="301"/>
        <v>0.06</v>
      </c>
      <c r="L445" s="11">
        <f t="shared" si="301"/>
        <v>0.06</v>
      </c>
      <c r="M445" s="54">
        <f t="shared" si="301"/>
        <v>0.06</v>
      </c>
      <c r="N445" s="11">
        <f t="shared" si="301"/>
        <v>0.06</v>
      </c>
      <c r="O445" s="11">
        <f t="shared" si="301"/>
        <v>0.06</v>
      </c>
      <c r="P445" s="11">
        <f t="shared" si="301"/>
        <v>0.06</v>
      </c>
      <c r="Q445" s="11">
        <f t="shared" si="301"/>
        <v>0.06</v>
      </c>
    </row>
    <row r="446" spans="1:17" ht="12" customHeight="1">
      <c r="A446" s="16"/>
      <c r="C446" s="4" t="s">
        <v>115</v>
      </c>
      <c r="D446" s="11">
        <f>$D$3</f>
        <v>0.04</v>
      </c>
      <c r="E446" s="11">
        <f aca="true" t="shared" si="302" ref="E446:Q446">D446</f>
        <v>0.04</v>
      </c>
      <c r="F446" s="11">
        <f t="shared" si="302"/>
        <v>0.04</v>
      </c>
      <c r="G446" s="54">
        <f t="shared" si="302"/>
        <v>0.04</v>
      </c>
      <c r="H446" s="11">
        <f t="shared" si="302"/>
        <v>0.04</v>
      </c>
      <c r="I446" s="11">
        <f t="shared" si="302"/>
        <v>0.04</v>
      </c>
      <c r="J446" s="11">
        <f t="shared" si="302"/>
        <v>0.04</v>
      </c>
      <c r="K446" s="11">
        <f t="shared" si="302"/>
        <v>0.04</v>
      </c>
      <c r="L446" s="11">
        <f t="shared" si="302"/>
        <v>0.04</v>
      </c>
      <c r="M446" s="54">
        <f t="shared" si="302"/>
        <v>0.04</v>
      </c>
      <c r="N446" s="11">
        <f t="shared" si="302"/>
        <v>0.04</v>
      </c>
      <c r="O446" s="11">
        <f t="shared" si="302"/>
        <v>0.04</v>
      </c>
      <c r="P446" s="11">
        <f t="shared" si="302"/>
        <v>0.04</v>
      </c>
      <c r="Q446" s="11">
        <f t="shared" si="302"/>
        <v>0.04</v>
      </c>
    </row>
    <row r="447" spans="1:41" s="7" customFormat="1" ht="11.25" customHeight="1">
      <c r="A447" s="16"/>
      <c r="C447" s="7" t="s">
        <v>36</v>
      </c>
      <c r="D447" s="51">
        <f aca="true" t="shared" si="303" ref="D447:Q447">D445+D444*D446</f>
        <v>0.1</v>
      </c>
      <c r="E447" s="51">
        <f t="shared" si="303"/>
        <v>0.1</v>
      </c>
      <c r="F447" s="51">
        <f t="shared" si="303"/>
        <v>0.1</v>
      </c>
      <c r="G447" s="50">
        <f t="shared" si="303"/>
        <v>0.1</v>
      </c>
      <c r="H447" s="51">
        <f t="shared" si="303"/>
        <v>0.1</v>
      </c>
      <c r="I447" s="51">
        <f t="shared" si="303"/>
        <v>0.1</v>
      </c>
      <c r="J447" s="51">
        <f t="shared" si="303"/>
        <v>0.1</v>
      </c>
      <c r="K447" s="51">
        <f t="shared" si="303"/>
        <v>0.1</v>
      </c>
      <c r="L447" s="51">
        <f t="shared" si="303"/>
        <v>0.1</v>
      </c>
      <c r="M447" s="50">
        <f t="shared" si="303"/>
        <v>0.1</v>
      </c>
      <c r="N447" s="51">
        <f t="shared" si="303"/>
        <v>0.1</v>
      </c>
      <c r="O447" s="51">
        <f t="shared" si="303"/>
        <v>0.1</v>
      </c>
      <c r="P447" s="51">
        <f t="shared" si="303"/>
        <v>0.1</v>
      </c>
      <c r="Q447" s="51">
        <f t="shared" si="303"/>
        <v>0.1</v>
      </c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</row>
    <row r="448" spans="1:41" s="7" customFormat="1" ht="11.25" customHeight="1" hidden="1">
      <c r="A448" s="16"/>
      <c r="C448" s="21" t="s">
        <v>37</v>
      </c>
      <c r="D448" s="12">
        <v>1</v>
      </c>
      <c r="E448" s="85">
        <f aca="true" t="shared" si="304" ref="E448:Q448">D448/(1+D447)</f>
        <v>0.9090909090909091</v>
      </c>
      <c r="F448" s="85">
        <f t="shared" si="304"/>
        <v>0.8264462809917354</v>
      </c>
      <c r="G448" s="94">
        <f t="shared" si="304"/>
        <v>0.7513148009015777</v>
      </c>
      <c r="H448" s="85">
        <f t="shared" si="304"/>
        <v>0.6830134553650705</v>
      </c>
      <c r="I448" s="85">
        <f t="shared" si="304"/>
        <v>0.6209213230591549</v>
      </c>
      <c r="J448" s="85">
        <f t="shared" si="304"/>
        <v>0.5644739300537771</v>
      </c>
      <c r="K448" s="85">
        <f t="shared" si="304"/>
        <v>0.5131581182307065</v>
      </c>
      <c r="L448" s="85">
        <f t="shared" si="304"/>
        <v>0.4665073802097331</v>
      </c>
      <c r="M448" s="94">
        <f t="shared" si="304"/>
        <v>0.4240976183724846</v>
      </c>
      <c r="N448" s="85">
        <f t="shared" si="304"/>
        <v>0.3855432894295314</v>
      </c>
      <c r="O448" s="85">
        <f t="shared" si="304"/>
        <v>0.35049389948139215</v>
      </c>
      <c r="P448" s="85">
        <f t="shared" si="304"/>
        <v>0.31863081771035645</v>
      </c>
      <c r="Q448" s="85">
        <f t="shared" si="304"/>
        <v>0.2896643797366877</v>
      </c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</row>
    <row r="449" spans="3:17" ht="11.25" customHeight="1" hidden="1">
      <c r="C449" s="4" t="s">
        <v>31</v>
      </c>
      <c r="E449" s="5">
        <f>E$41</f>
        <v>243</v>
      </c>
      <c r="F449" s="5">
        <f aca="true" t="shared" si="305" ref="F449:P449">F$41</f>
        <v>107</v>
      </c>
      <c r="G449" s="5">
        <f t="shared" si="305"/>
        <v>416</v>
      </c>
      <c r="H449" s="5">
        <f t="shared" si="305"/>
        <v>448.6500000000001</v>
      </c>
      <c r="I449" s="5">
        <f t="shared" si="305"/>
        <v>457.6229999999999</v>
      </c>
      <c r="J449" s="5">
        <f t="shared" si="305"/>
        <v>466.7754600000002</v>
      </c>
      <c r="K449" s="5">
        <f t="shared" si="305"/>
        <v>476.1109691999999</v>
      </c>
      <c r="L449" s="5">
        <f t="shared" si="305"/>
        <v>485.63318858399964</v>
      </c>
      <c r="M449" s="5">
        <f t="shared" si="305"/>
        <v>495.3458523556802</v>
      </c>
      <c r="N449" s="5">
        <f t="shared" si="305"/>
        <v>505.2527694027938</v>
      </c>
      <c r="O449" s="5">
        <f t="shared" si="305"/>
        <v>515.35782479085</v>
      </c>
      <c r="P449" s="5">
        <f t="shared" si="305"/>
        <v>525.6649812866659</v>
      </c>
      <c r="Q449" s="162">
        <f>P449*(1+O$5)+P449*(1+O$5)*(1+O$5)/(P447-O$5)</f>
        <v>7372.451362545489</v>
      </c>
    </row>
    <row r="450" spans="3:17" ht="11.25" customHeight="1" hidden="1">
      <c r="C450" s="21" t="s">
        <v>38</v>
      </c>
      <c r="E450" s="5">
        <f>E448*E449</f>
        <v>220.9090909090909</v>
      </c>
      <c r="F450" s="5">
        <f aca="true" t="shared" si="306" ref="F450:Q450">F448*F449</f>
        <v>88.4297520661157</v>
      </c>
      <c r="G450" s="93">
        <f t="shared" si="306"/>
        <v>312.5469571750563</v>
      </c>
      <c r="H450" s="5">
        <f t="shared" si="306"/>
        <v>306.433986749539</v>
      </c>
      <c r="I450" s="5">
        <f t="shared" si="306"/>
        <v>284.1478786222996</v>
      </c>
      <c r="J450" s="5">
        <f t="shared" si="306"/>
        <v>263.4825783588597</v>
      </c>
      <c r="K450" s="5">
        <f t="shared" si="306"/>
        <v>244.32020902366978</v>
      </c>
      <c r="L450" s="5">
        <f t="shared" si="306"/>
        <v>226.55146654922092</v>
      </c>
      <c r="M450" s="93">
        <f t="shared" si="306"/>
        <v>210.07499625473238</v>
      </c>
      <c r="N450" s="5">
        <f t="shared" si="306"/>
        <v>194.79681470893362</v>
      </c>
      <c r="O450" s="5">
        <f t="shared" si="306"/>
        <v>180.6297736391931</v>
      </c>
      <c r="P450" s="5">
        <f t="shared" si="306"/>
        <v>167.49306282906957</v>
      </c>
      <c r="Q450" s="5">
        <f t="shared" si="306"/>
        <v>2135.536551070637</v>
      </c>
    </row>
    <row r="451" spans="1:41" s="77" customFormat="1" ht="11.25" customHeight="1" thickBot="1">
      <c r="A451" s="64"/>
      <c r="C451" s="78" t="s">
        <v>39</v>
      </c>
      <c r="D451" s="79">
        <f>SUM(E450:$Q450)/D448</f>
        <v>4835.353117956418</v>
      </c>
      <c r="E451" s="79">
        <f>SUM(F450:$Q450)/E448</f>
        <v>5075.888429752059</v>
      </c>
      <c r="F451" s="79">
        <f>SUM(G450:$Q450)/F448</f>
        <v>5476.477272727266</v>
      </c>
      <c r="G451" s="95">
        <f>SUM(H450:$Q450)/G448</f>
        <v>5608.124999999993</v>
      </c>
      <c r="H451" s="79">
        <f>SUM(I450:$Q450)/H448</f>
        <v>5720.287499999992</v>
      </c>
      <c r="I451" s="79">
        <f>SUM(J450:$Q450)/I448</f>
        <v>5834.693249999993</v>
      </c>
      <c r="J451" s="79">
        <f>SUM(K450:$Q450)/J448</f>
        <v>5951.387114999992</v>
      </c>
      <c r="K451" s="79">
        <f>SUM(L450:$Q450)/K448</f>
        <v>6070.414857299992</v>
      </c>
      <c r="L451" s="79">
        <f>SUM(M450:$Q450)/L448</f>
        <v>6191.823154445992</v>
      </c>
      <c r="M451" s="95">
        <f>SUM(N450:$Q450)/M448</f>
        <v>6315.659617534911</v>
      </c>
      <c r="N451" s="79">
        <f>SUM(O450:$Q450)/N448</f>
        <v>6441.972809885611</v>
      </c>
      <c r="O451" s="79">
        <f>SUM(P450:$Q450)/O448</f>
        <v>6570.812266083322</v>
      </c>
      <c r="P451" s="79">
        <f>SUM(Q450:$Q450)/P448</f>
        <v>6702.22851140499</v>
      </c>
      <c r="Q451" s="80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</row>
    <row r="452" spans="1:17" ht="10.5" hidden="1">
      <c r="A452" s="16"/>
      <c r="C452" s="6" t="s">
        <v>40</v>
      </c>
      <c r="D452" s="6"/>
      <c r="E452" s="44" t="e">
        <f>#REF!/#REF!-1</f>
        <v>#REF!</v>
      </c>
      <c r="F452" s="44" t="e">
        <f>#REF!/#REF!-1</f>
        <v>#REF!</v>
      </c>
      <c r="G452" s="30" t="e">
        <f>#REF!/#REF!-1</f>
        <v>#REF!</v>
      </c>
      <c r="H452" s="44" t="e">
        <f>#REF!/#REF!-1</f>
        <v>#REF!</v>
      </c>
      <c r="I452" s="44" t="e">
        <f>#REF!/#REF!-1</f>
        <v>#REF!</v>
      </c>
      <c r="J452" s="44" t="e">
        <f>#REF!/#REF!-1</f>
        <v>#REF!</v>
      </c>
      <c r="K452" s="44" t="e">
        <f>#REF!/#REF!-1</f>
        <v>#REF!</v>
      </c>
      <c r="L452" s="44" t="e">
        <f>#REF!/#REF!-1</f>
        <v>#REF!</v>
      </c>
      <c r="M452" s="30" t="e">
        <f>#REF!/#REF!-1</f>
        <v>#REF!</v>
      </c>
      <c r="N452" s="44" t="e">
        <f>#REF!/#REF!-1</f>
        <v>#REF!</v>
      </c>
      <c r="O452" s="44" t="e">
        <f>#REF!/#REF!-1</f>
        <v>#REF!</v>
      </c>
      <c r="P452" s="44" t="e">
        <f>#REF!/#REF!-1</f>
        <v>#REF!</v>
      </c>
      <c r="Q452" s="44" t="e">
        <f>Q451/#REF!-1</f>
        <v>#REF!</v>
      </c>
    </row>
    <row r="453" spans="1:17" ht="6.75" customHeight="1">
      <c r="A453" s="16"/>
      <c r="D453" s="1"/>
      <c r="E453" s="1"/>
      <c r="F453" s="1"/>
      <c r="G453" s="29"/>
      <c r="H453" s="1"/>
      <c r="I453" s="1"/>
      <c r="J453" s="3"/>
      <c r="K453" s="3"/>
      <c r="L453" s="3"/>
      <c r="M453" s="35"/>
      <c r="N453" s="3"/>
      <c r="O453" s="3"/>
      <c r="P453" s="3"/>
      <c r="Q453" s="3"/>
    </row>
    <row r="454" spans="1:17" ht="14.25" customHeight="1" hidden="1">
      <c r="A454" s="16"/>
      <c r="C454" s="4" t="s">
        <v>41</v>
      </c>
      <c r="D454" s="1">
        <f aca="true" t="shared" si="307" ref="D454:Q454">D$13</f>
        <v>1500</v>
      </c>
      <c r="E454" s="1">
        <f t="shared" si="307"/>
        <v>1500</v>
      </c>
      <c r="F454" s="1">
        <f t="shared" si="307"/>
        <v>1500</v>
      </c>
      <c r="G454" s="1">
        <f t="shared" si="307"/>
        <v>1500</v>
      </c>
      <c r="H454" s="1">
        <f t="shared" si="307"/>
        <v>1530</v>
      </c>
      <c r="I454" s="1">
        <f t="shared" si="307"/>
        <v>1560.6000000000001</v>
      </c>
      <c r="J454" s="1">
        <f t="shared" si="307"/>
        <v>1591.8120000000001</v>
      </c>
      <c r="K454" s="1">
        <f t="shared" si="307"/>
        <v>1623.6482400000002</v>
      </c>
      <c r="L454" s="1">
        <f t="shared" si="307"/>
        <v>1656.1212048000002</v>
      </c>
      <c r="M454" s="1">
        <f t="shared" si="307"/>
        <v>1689.2436288960002</v>
      </c>
      <c r="N454" s="1">
        <f t="shared" si="307"/>
        <v>1723.0285014739202</v>
      </c>
      <c r="O454" s="1">
        <f t="shared" si="307"/>
        <v>1757.4890715033987</v>
      </c>
      <c r="P454" s="1">
        <f t="shared" si="307"/>
        <v>1792.6388529334668</v>
      </c>
      <c r="Q454" s="1">
        <f t="shared" si="307"/>
        <v>1828.491629992136</v>
      </c>
    </row>
    <row r="455" spans="1:17" s="69" customFormat="1" ht="14.25" customHeight="1" hidden="1">
      <c r="A455" s="55"/>
      <c r="C455" s="21" t="s">
        <v>42</v>
      </c>
      <c r="D455" s="12">
        <v>1</v>
      </c>
      <c r="E455" s="85">
        <f aca="true" t="shared" si="308" ref="E455:Q455">D455/(1+D$64)</f>
        <v>0.9259259259259258</v>
      </c>
      <c r="F455" s="85">
        <f t="shared" si="308"/>
        <v>0.8573388203017831</v>
      </c>
      <c r="G455" s="85">
        <f t="shared" si="308"/>
        <v>0.7938322410201695</v>
      </c>
      <c r="H455" s="85">
        <f t="shared" si="308"/>
        <v>0.7350298527964532</v>
      </c>
      <c r="I455" s="85">
        <f t="shared" si="308"/>
        <v>0.6805831970337529</v>
      </c>
      <c r="J455" s="85">
        <f t="shared" si="308"/>
        <v>0.6301696268831045</v>
      </c>
      <c r="K455" s="85">
        <f t="shared" si="308"/>
        <v>0.5834903952621338</v>
      </c>
      <c r="L455" s="85">
        <f t="shared" si="308"/>
        <v>0.5402688845019756</v>
      </c>
      <c r="M455" s="85">
        <f t="shared" si="308"/>
        <v>0.5002489671314588</v>
      </c>
      <c r="N455" s="85">
        <f t="shared" si="308"/>
        <v>0.4631934880846841</v>
      </c>
      <c r="O455" s="85">
        <f t="shared" si="308"/>
        <v>0.4288828593376704</v>
      </c>
      <c r="P455" s="85">
        <f t="shared" si="308"/>
        <v>0.3971137586459911</v>
      </c>
      <c r="Q455" s="85">
        <f t="shared" si="308"/>
        <v>0.36769792467221396</v>
      </c>
    </row>
    <row r="456" spans="1:17" s="69" customFormat="1" ht="14.25" customHeight="1" hidden="1">
      <c r="A456" s="55"/>
      <c r="C456" s="4" t="s">
        <v>32</v>
      </c>
      <c r="D456" s="86"/>
      <c r="E456" s="102">
        <f>E$42</f>
        <v>120</v>
      </c>
      <c r="F456" s="102">
        <f aca="true" t="shared" si="309" ref="F456:P456">F$42</f>
        <v>120</v>
      </c>
      <c r="G456" s="102">
        <f t="shared" si="309"/>
        <v>120</v>
      </c>
      <c r="H456" s="102">
        <f t="shared" si="309"/>
        <v>90</v>
      </c>
      <c r="I456" s="102">
        <f t="shared" si="309"/>
        <v>91.79999999999987</v>
      </c>
      <c r="J456" s="102">
        <f t="shared" si="309"/>
        <v>93.63600000000002</v>
      </c>
      <c r="K456" s="102">
        <f t="shared" si="309"/>
        <v>95.50871999999993</v>
      </c>
      <c r="L456" s="102">
        <f t="shared" si="309"/>
        <v>97.41889440000003</v>
      </c>
      <c r="M456" s="102">
        <f t="shared" si="309"/>
        <v>99.36727228799998</v>
      </c>
      <c r="N456" s="102">
        <f t="shared" si="309"/>
        <v>101.35461773376008</v>
      </c>
      <c r="O456" s="102">
        <f t="shared" si="309"/>
        <v>103.38171008843511</v>
      </c>
      <c r="P456" s="102">
        <f t="shared" si="309"/>
        <v>105.44934429020384</v>
      </c>
      <c r="Q456" s="162">
        <f>P456*(1+O$5)+P456*(1+O$5)*(1+O$5)/(P460-O$5)</f>
        <v>1936.0499611681423</v>
      </c>
    </row>
    <row r="457" spans="1:17" s="69" customFormat="1" ht="14.25" customHeight="1" hidden="1">
      <c r="A457" s="55"/>
      <c r="C457" s="21" t="s">
        <v>43</v>
      </c>
      <c r="D457" s="86"/>
      <c r="E457" s="87">
        <f aca="true" t="shared" si="310" ref="E457:Q457">E456*E455</f>
        <v>111.1111111111111</v>
      </c>
      <c r="F457" s="87">
        <f t="shared" si="310"/>
        <v>102.88065843621398</v>
      </c>
      <c r="G457" s="94">
        <f t="shared" si="310"/>
        <v>95.25986892242034</v>
      </c>
      <c r="H457" s="87">
        <f t="shared" si="310"/>
        <v>66.15268675168079</v>
      </c>
      <c r="I457" s="87">
        <f t="shared" si="310"/>
        <v>62.47753748769843</v>
      </c>
      <c r="J457" s="87">
        <f t="shared" si="310"/>
        <v>59.00656318282639</v>
      </c>
      <c r="K457" s="87">
        <f t="shared" si="310"/>
        <v>55.728420783780415</v>
      </c>
      <c r="L457" s="87">
        <f t="shared" si="310"/>
        <v>52.63239740690378</v>
      </c>
      <c r="M457" s="94">
        <f t="shared" si="310"/>
        <v>49.70837532874242</v>
      </c>
      <c r="N457" s="87">
        <f t="shared" si="310"/>
        <v>46.94679892159011</v>
      </c>
      <c r="O457" s="87">
        <f t="shared" si="310"/>
        <v>44.33864342594614</v>
      </c>
      <c r="P457" s="87">
        <f t="shared" si="310"/>
        <v>41.87538545783802</v>
      </c>
      <c r="Q457" s="87">
        <f t="shared" si="310"/>
        <v>711.8815527832463</v>
      </c>
    </row>
    <row r="458" spans="1:17" ht="14.25" customHeight="1" thickBot="1">
      <c r="A458" s="64"/>
      <c r="B458" s="65"/>
      <c r="C458" s="119" t="s">
        <v>44</v>
      </c>
      <c r="D458" s="79">
        <f>SUM(E457:$Q457)/D455</f>
        <v>1499.9999999999982</v>
      </c>
      <c r="E458" s="79">
        <f>SUM(F457:$Q457)/E455</f>
        <v>1499.9999999999982</v>
      </c>
      <c r="F458" s="79">
        <f>SUM(G457:$Q457)/F455</f>
        <v>1499.9999999999982</v>
      </c>
      <c r="G458" s="95">
        <f>SUM(H457:$Q457)/G455</f>
        <v>1499.9999999999982</v>
      </c>
      <c r="H458" s="79">
        <f>SUM(I457:$Q457)/H455</f>
        <v>1529.9999999999984</v>
      </c>
      <c r="I458" s="79">
        <f>SUM(J457:$Q457)/I455</f>
        <v>1560.5999999999983</v>
      </c>
      <c r="J458" s="79">
        <f>SUM(K457:$Q457)/J455</f>
        <v>1591.811999999998</v>
      </c>
      <c r="K458" s="79">
        <f>SUM(L457:$Q457)/K455</f>
        <v>1623.6482399999982</v>
      </c>
      <c r="L458" s="79">
        <f>SUM(M457:$Q457)/L455</f>
        <v>1656.1212047999982</v>
      </c>
      <c r="M458" s="95">
        <f>SUM(N457:$Q457)/M455</f>
        <v>1689.2436288959984</v>
      </c>
      <c r="N458" s="79">
        <f>SUM(O457:$Q457)/N455</f>
        <v>1723.0285014739184</v>
      </c>
      <c r="O458" s="79">
        <f>SUM(P457:$Q457)/O455</f>
        <v>1757.4890715033969</v>
      </c>
      <c r="P458" s="79">
        <f>SUM(Q457:$Q457)/P455</f>
        <v>1792.638852933465</v>
      </c>
      <c r="Q458" s="67"/>
    </row>
    <row r="459" spans="1:17" ht="12" customHeight="1">
      <c r="A459" s="16"/>
      <c r="C459" s="7" t="s">
        <v>4</v>
      </c>
      <c r="D459" s="51">
        <f>$D$4</f>
        <v>0.08</v>
      </c>
      <c r="E459" s="139">
        <f aca="true" t="shared" si="311" ref="E459:Q459">D459</f>
        <v>0.08</v>
      </c>
      <c r="F459" s="139">
        <f t="shared" si="311"/>
        <v>0.08</v>
      </c>
      <c r="G459" s="140">
        <f t="shared" si="311"/>
        <v>0.08</v>
      </c>
      <c r="H459" s="139">
        <f t="shared" si="311"/>
        <v>0.08</v>
      </c>
      <c r="I459" s="139">
        <f t="shared" si="311"/>
        <v>0.08</v>
      </c>
      <c r="J459" s="139">
        <f t="shared" si="311"/>
        <v>0.08</v>
      </c>
      <c r="K459" s="139">
        <f t="shared" si="311"/>
        <v>0.08</v>
      </c>
      <c r="L459" s="139">
        <f t="shared" si="311"/>
        <v>0.08</v>
      </c>
      <c r="M459" s="140">
        <f t="shared" si="311"/>
        <v>0.08</v>
      </c>
      <c r="N459" s="139">
        <f t="shared" si="311"/>
        <v>0.08</v>
      </c>
      <c r="O459" s="139">
        <f t="shared" si="311"/>
        <v>0.08</v>
      </c>
      <c r="P459" s="139">
        <f t="shared" si="311"/>
        <v>0.08</v>
      </c>
      <c r="Q459" s="139">
        <f t="shared" si="311"/>
        <v>0.08</v>
      </c>
    </row>
    <row r="460" spans="1:41" s="107" customFormat="1" ht="12" customHeight="1">
      <c r="A460" s="16"/>
      <c r="C460" s="107" t="s">
        <v>5</v>
      </c>
      <c r="D460" s="51">
        <f>$D$5</f>
        <v>0.08</v>
      </c>
      <c r="E460" s="51">
        <f aca="true" t="shared" si="312" ref="E460:Q460">D460</f>
        <v>0.08</v>
      </c>
      <c r="F460" s="51">
        <f t="shared" si="312"/>
        <v>0.08</v>
      </c>
      <c r="G460" s="50">
        <f t="shared" si="312"/>
        <v>0.08</v>
      </c>
      <c r="H460" s="51">
        <f t="shared" si="312"/>
        <v>0.08</v>
      </c>
      <c r="I460" s="51">
        <f t="shared" si="312"/>
        <v>0.08</v>
      </c>
      <c r="J460" s="51">
        <f t="shared" si="312"/>
        <v>0.08</v>
      </c>
      <c r="K460" s="51">
        <f t="shared" si="312"/>
        <v>0.08</v>
      </c>
      <c r="L460" s="51">
        <f t="shared" si="312"/>
        <v>0.08</v>
      </c>
      <c r="M460" s="50">
        <f t="shared" si="312"/>
        <v>0.08</v>
      </c>
      <c r="N460" s="51">
        <f t="shared" si="312"/>
        <v>0.08</v>
      </c>
      <c r="O460" s="51">
        <f t="shared" si="312"/>
        <v>0.08</v>
      </c>
      <c r="P460" s="51">
        <f t="shared" si="312"/>
        <v>0.08</v>
      </c>
      <c r="Q460" s="51">
        <f t="shared" si="312"/>
        <v>0.08</v>
      </c>
      <c r="R460" s="106"/>
      <c r="S460" s="106"/>
      <c r="T460" s="106"/>
      <c r="U460" s="106"/>
      <c r="V460" s="106"/>
      <c r="W460" s="106"/>
      <c r="X460" s="106"/>
      <c r="Y460" s="106"/>
      <c r="Z460" s="106"/>
      <c r="AA460" s="106"/>
      <c r="AB460" s="106"/>
      <c r="AC460" s="106"/>
      <c r="AD460" s="106"/>
      <c r="AE460" s="106"/>
      <c r="AF460" s="106"/>
      <c r="AG460" s="106"/>
      <c r="AH460" s="106"/>
      <c r="AI460" s="106"/>
      <c r="AJ460" s="106"/>
      <c r="AK460" s="106"/>
      <c r="AL460" s="106"/>
      <c r="AM460" s="106"/>
      <c r="AN460" s="106"/>
      <c r="AO460" s="106"/>
    </row>
    <row r="461" spans="1:41" s="42" customFormat="1" ht="12" customHeight="1">
      <c r="A461" s="45"/>
      <c r="C461" s="42" t="s">
        <v>45</v>
      </c>
      <c r="D461" s="81">
        <f aca="true" t="shared" si="313" ref="D461:Q461">(D460-D445)/D446</f>
        <v>0.5000000000000001</v>
      </c>
      <c r="E461" s="81">
        <f t="shared" si="313"/>
        <v>0.5000000000000001</v>
      </c>
      <c r="F461" s="81">
        <f t="shared" si="313"/>
        <v>0.5000000000000001</v>
      </c>
      <c r="G461" s="144">
        <f t="shared" si="313"/>
        <v>0.5000000000000001</v>
      </c>
      <c r="H461" s="81">
        <f t="shared" si="313"/>
        <v>0.5000000000000001</v>
      </c>
      <c r="I461" s="81">
        <f t="shared" si="313"/>
        <v>0.5000000000000001</v>
      </c>
      <c r="J461" s="82">
        <f t="shared" si="313"/>
        <v>0.5000000000000001</v>
      </c>
      <c r="K461" s="82">
        <f t="shared" si="313"/>
        <v>0.5000000000000001</v>
      </c>
      <c r="L461" s="82">
        <f t="shared" si="313"/>
        <v>0.5000000000000001</v>
      </c>
      <c r="M461" s="83">
        <f t="shared" si="313"/>
        <v>0.5000000000000001</v>
      </c>
      <c r="N461" s="82">
        <f t="shared" si="313"/>
        <v>0.5000000000000001</v>
      </c>
      <c r="O461" s="82">
        <f t="shared" si="313"/>
        <v>0.5000000000000001</v>
      </c>
      <c r="P461" s="82">
        <f t="shared" si="313"/>
        <v>0.5000000000000001</v>
      </c>
      <c r="Q461" s="84">
        <f t="shared" si="313"/>
        <v>0.5000000000000001</v>
      </c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K461" s="69"/>
      <c r="AL461" s="69"/>
      <c r="AM461" s="69"/>
      <c r="AN461" s="69"/>
      <c r="AO461" s="69"/>
    </row>
    <row r="462" spans="1:17" ht="10.5" customHeight="1">
      <c r="A462" s="16"/>
      <c r="D462"/>
      <c r="E462" s="43"/>
      <c r="F462" s="43"/>
      <c r="G462" s="143"/>
      <c r="H462" s="43"/>
      <c r="I462" s="43"/>
      <c r="J462" s="2"/>
      <c r="K462" s="2"/>
      <c r="L462" s="2"/>
      <c r="M462" s="8"/>
      <c r="N462" s="2"/>
      <c r="O462" s="2"/>
      <c r="P462" s="2"/>
      <c r="Q462" s="2"/>
    </row>
    <row r="463" spans="1:17" ht="10.5" customHeight="1" hidden="1">
      <c r="A463" s="16"/>
      <c r="C463" s="158" t="s">
        <v>108</v>
      </c>
      <c r="D463" s="43"/>
      <c r="E463" s="43">
        <f aca="true" t="shared" si="314" ref="E463:P463">D458*D460*$H$3</f>
        <v>41.99999999999995</v>
      </c>
      <c r="F463" s="43">
        <f t="shared" si="314"/>
        <v>41.99999999999995</v>
      </c>
      <c r="G463" s="43">
        <f t="shared" si="314"/>
        <v>41.99999999999995</v>
      </c>
      <c r="H463" s="43">
        <f t="shared" si="314"/>
        <v>41.99999999999995</v>
      </c>
      <c r="I463" s="43">
        <f t="shared" si="314"/>
        <v>42.839999999999954</v>
      </c>
      <c r="J463" s="43">
        <f t="shared" si="314"/>
        <v>43.69679999999995</v>
      </c>
      <c r="K463" s="43">
        <f t="shared" si="314"/>
        <v>44.57073599999994</v>
      </c>
      <c r="L463" s="43">
        <f t="shared" si="314"/>
        <v>45.46215071999995</v>
      </c>
      <c r="M463" s="43">
        <f t="shared" si="314"/>
        <v>46.371393734399945</v>
      </c>
      <c r="N463" s="43">
        <f t="shared" si="314"/>
        <v>47.29882160908795</v>
      </c>
      <c r="O463" s="43">
        <f t="shared" si="314"/>
        <v>48.24479804126971</v>
      </c>
      <c r="P463" s="43">
        <f t="shared" si="314"/>
        <v>49.20969400209511</v>
      </c>
      <c r="Q463" s="162">
        <f>P463*(1+O$5)+P463*(1+O$5)*(1+O$5)/(P460-O$5)</f>
        <v>903.4899818784662</v>
      </c>
    </row>
    <row r="464" spans="3:17" ht="10.5" customHeight="1" hidden="1">
      <c r="C464" s="158" t="s">
        <v>111</v>
      </c>
      <c r="E464" s="5">
        <f aca="true" t="shared" si="315" ref="E464:Q464">E455*E463</f>
        <v>38.888888888888836</v>
      </c>
      <c r="F464" s="5">
        <f t="shared" si="315"/>
        <v>36.008230452674844</v>
      </c>
      <c r="G464" s="93">
        <f t="shared" si="315"/>
        <v>33.34095412284708</v>
      </c>
      <c r="H464" s="5">
        <f t="shared" si="315"/>
        <v>30.871253817450995</v>
      </c>
      <c r="I464" s="5">
        <f t="shared" si="315"/>
        <v>29.156184160925942</v>
      </c>
      <c r="J464" s="5">
        <f t="shared" si="315"/>
        <v>27.536396151985613</v>
      </c>
      <c r="K464" s="5">
        <f t="shared" si="315"/>
        <v>26.006596365764178</v>
      </c>
      <c r="L464" s="5">
        <f t="shared" si="315"/>
        <v>24.56178545655506</v>
      </c>
      <c r="M464" s="93">
        <f t="shared" si="315"/>
        <v>23.197241820079775</v>
      </c>
      <c r="N464" s="5">
        <f t="shared" si="315"/>
        <v>21.908506163408678</v>
      </c>
      <c r="O464" s="5">
        <f t="shared" si="315"/>
        <v>20.691366932108192</v>
      </c>
      <c r="P464" s="5">
        <f t="shared" si="315"/>
        <v>19.541846546991074</v>
      </c>
      <c r="Q464" s="5">
        <f t="shared" si="315"/>
        <v>332.21139129884824</v>
      </c>
    </row>
    <row r="465" spans="1:17" ht="10.5" customHeight="1">
      <c r="A465" s="16"/>
      <c r="C465" s="158" t="s">
        <v>110</v>
      </c>
      <c r="D465" s="70">
        <f>SUM(E464:$Q464)/D455</f>
        <v>663.9206421785284</v>
      </c>
      <c r="E465" s="70">
        <f>SUM(F464:$Q464)/E455</f>
        <v>675.0342935528108</v>
      </c>
      <c r="F465" s="70">
        <f>SUM(G464:$Q464)/F455</f>
        <v>687.0370370370359</v>
      </c>
      <c r="G465" s="29">
        <f>SUM(H464:$Q464)/G455</f>
        <v>699.999999999999</v>
      </c>
      <c r="H465" s="70">
        <f>SUM(I464:$Q464)/H455</f>
        <v>713.999999999999</v>
      </c>
      <c r="I465" s="70">
        <f>SUM(J464:$Q464)/I455</f>
        <v>728.279999999999</v>
      </c>
      <c r="J465" s="70">
        <f>SUM(K464:$Q464)/J455</f>
        <v>742.8455999999989</v>
      </c>
      <c r="K465" s="70">
        <f>SUM(L464:$Q464)/K455</f>
        <v>757.702511999999</v>
      </c>
      <c r="L465" s="70">
        <f>SUM(M464:$Q464)/L455</f>
        <v>772.856562239999</v>
      </c>
      <c r="M465" s="29">
        <f>SUM(N464:$Q464)/M455</f>
        <v>788.3136934847992</v>
      </c>
      <c r="N465" s="70">
        <f>SUM(O464:$Q464)/N455</f>
        <v>804.0799673544951</v>
      </c>
      <c r="O465" s="70">
        <f>SUM(P464:$Q464)/O455</f>
        <v>820.1615667015851</v>
      </c>
      <c r="P465" s="70">
        <f>SUM(Q464:$Q464)/P455</f>
        <v>836.564798035617</v>
      </c>
      <c r="Q465" s="70">
        <f>SUM($Q464:R464)/Q455</f>
        <v>903.4899818784662</v>
      </c>
    </row>
    <row r="466" spans="1:17" ht="12" customHeight="1">
      <c r="A466" s="16"/>
      <c r="C466" s="21" t="s">
        <v>103</v>
      </c>
      <c r="D466" s="1">
        <f aca="true" t="shared" si="316" ref="D466:P466">D465+D451</f>
        <v>5499.273760134946</v>
      </c>
      <c r="E466" s="1">
        <f t="shared" si="316"/>
        <v>5750.92272330487</v>
      </c>
      <c r="F466" s="1">
        <f t="shared" si="316"/>
        <v>6163.514309764301</v>
      </c>
      <c r="G466" s="29">
        <f t="shared" si="316"/>
        <v>6308.124999999992</v>
      </c>
      <c r="H466" s="1">
        <f t="shared" si="316"/>
        <v>6434.287499999991</v>
      </c>
      <c r="I466" s="1">
        <f t="shared" si="316"/>
        <v>6562.973249999992</v>
      </c>
      <c r="J466" s="1">
        <f t="shared" si="316"/>
        <v>6694.232714999991</v>
      </c>
      <c r="K466" s="1">
        <f t="shared" si="316"/>
        <v>6828.117369299991</v>
      </c>
      <c r="L466" s="1">
        <f t="shared" si="316"/>
        <v>6964.6797166859915</v>
      </c>
      <c r="M466" s="29">
        <f t="shared" si="316"/>
        <v>7103.97331101971</v>
      </c>
      <c r="N466" s="1">
        <f t="shared" si="316"/>
        <v>7246.0527772401065</v>
      </c>
      <c r="O466" s="1">
        <f t="shared" si="316"/>
        <v>7390.973832784907</v>
      </c>
      <c r="P466" s="1">
        <f t="shared" si="316"/>
        <v>7538.793309440607</v>
      </c>
      <c r="Q466" s="1"/>
    </row>
    <row r="467" spans="1:41" s="65" customFormat="1" ht="12" customHeight="1" thickBot="1">
      <c r="A467" s="64"/>
      <c r="B467" s="65" t="s">
        <v>48</v>
      </c>
      <c r="C467" s="77" t="s">
        <v>49</v>
      </c>
      <c r="D467" s="112">
        <f aca="true" t="shared" si="317" ref="D467:P467">D466-D458</f>
        <v>3999.273760134948</v>
      </c>
      <c r="E467" s="79">
        <f t="shared" si="317"/>
        <v>4250.922723304871</v>
      </c>
      <c r="F467" s="79">
        <f t="shared" si="317"/>
        <v>4663.514309764303</v>
      </c>
      <c r="G467" s="95">
        <f t="shared" si="317"/>
        <v>4808.124999999994</v>
      </c>
      <c r="H467" s="79">
        <f t="shared" si="317"/>
        <v>4904.287499999993</v>
      </c>
      <c r="I467" s="79">
        <f t="shared" si="317"/>
        <v>5002.373249999993</v>
      </c>
      <c r="J467" s="79">
        <f t="shared" si="317"/>
        <v>5102.420714999993</v>
      </c>
      <c r="K467" s="79">
        <f t="shared" si="317"/>
        <v>5204.469129299992</v>
      </c>
      <c r="L467" s="79">
        <f t="shared" si="317"/>
        <v>5308.5585118859935</v>
      </c>
      <c r="M467" s="95">
        <f t="shared" si="317"/>
        <v>5414.729682123712</v>
      </c>
      <c r="N467" s="79">
        <f t="shared" si="317"/>
        <v>5523.024275766188</v>
      </c>
      <c r="O467" s="79">
        <f t="shared" si="317"/>
        <v>5633.48476128151</v>
      </c>
      <c r="P467" s="79">
        <f t="shared" si="317"/>
        <v>5746.154456507142</v>
      </c>
      <c r="Q467" s="7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K467" s="69"/>
      <c r="AL467" s="69"/>
      <c r="AM467" s="69"/>
      <c r="AN467" s="69"/>
      <c r="AO467" s="69"/>
    </row>
    <row r="468" spans="1:17" ht="10.5" hidden="1">
      <c r="A468" s="16"/>
      <c r="C468" s="6" t="s">
        <v>50</v>
      </c>
      <c r="D468" s="6"/>
      <c r="E468" s="44">
        <f aca="true" t="shared" si="318" ref="E468:Q468">E467/D467-1</f>
        <v>0.06292366521101367</v>
      </c>
      <c r="F468" s="44">
        <f t="shared" si="318"/>
        <v>0.09705930060724866</v>
      </c>
      <c r="G468" s="30">
        <f t="shared" si="318"/>
        <v>0.03100895175402596</v>
      </c>
      <c r="H468" s="44">
        <f t="shared" si="318"/>
        <v>0.020000000000000018</v>
      </c>
      <c r="I468" s="44">
        <f t="shared" si="318"/>
        <v>0.020000000000000018</v>
      </c>
      <c r="J468" s="44">
        <f t="shared" si="318"/>
        <v>0.020000000000000018</v>
      </c>
      <c r="K468" s="44">
        <f t="shared" si="318"/>
        <v>0.020000000000000018</v>
      </c>
      <c r="L468" s="44">
        <f t="shared" si="318"/>
        <v>0.02000000000000024</v>
      </c>
      <c r="M468" s="30">
        <f t="shared" si="318"/>
        <v>0.019999999999999796</v>
      </c>
      <c r="N468" s="44">
        <f t="shared" si="318"/>
        <v>0.02000000000000024</v>
      </c>
      <c r="O468" s="44">
        <f t="shared" si="318"/>
        <v>0.019999999999999796</v>
      </c>
      <c r="P468" s="44">
        <f t="shared" si="318"/>
        <v>0.02000000000000024</v>
      </c>
      <c r="Q468" s="44">
        <f t="shared" si="318"/>
        <v>-1</v>
      </c>
    </row>
    <row r="469" spans="1:17" ht="9" customHeight="1">
      <c r="A469" s="16"/>
      <c r="C469" s="6"/>
      <c r="D469" s="6"/>
      <c r="E469" s="6"/>
      <c r="F469" s="6"/>
      <c r="G469" s="145"/>
      <c r="H469" s="6"/>
      <c r="I469" s="6"/>
      <c r="J469" s="6"/>
      <c r="K469" s="6"/>
      <c r="L469" s="6"/>
      <c r="M469" s="30"/>
      <c r="N469" s="6"/>
      <c r="O469" s="6"/>
      <c r="P469" s="6"/>
      <c r="Q469" s="44"/>
    </row>
    <row r="470" spans="1:17" ht="12.75" customHeight="1">
      <c r="A470" s="16"/>
      <c r="C470" s="4" t="s">
        <v>51</v>
      </c>
      <c r="D470" s="12">
        <f aca="true" t="shared" si="319" ref="D470:P470">D444+(D444-D461)*(D451-D467)/D467</f>
        <v>1.1045288979908765</v>
      </c>
      <c r="E470" s="12">
        <f t="shared" si="319"/>
        <v>1.0970337218698978</v>
      </c>
      <c r="F470" s="12">
        <f t="shared" si="319"/>
        <v>1.0871620530101955</v>
      </c>
      <c r="G470" s="12">
        <f t="shared" si="319"/>
        <v>1.0831925126738593</v>
      </c>
      <c r="H470" s="12">
        <f t="shared" si="319"/>
        <v>1.0831925126738593</v>
      </c>
      <c r="I470" s="12">
        <f t="shared" si="319"/>
        <v>1.0831925126738593</v>
      </c>
      <c r="J470" s="12">
        <f t="shared" si="319"/>
        <v>1.0831925126738593</v>
      </c>
      <c r="K470" s="12">
        <f t="shared" si="319"/>
        <v>1.0831925126738595</v>
      </c>
      <c r="L470" s="12">
        <f t="shared" si="319"/>
        <v>1.0831925126738593</v>
      </c>
      <c r="M470" s="12">
        <f t="shared" si="319"/>
        <v>1.0831925126738593</v>
      </c>
      <c r="N470" s="12">
        <f t="shared" si="319"/>
        <v>1.0831925126738593</v>
      </c>
      <c r="O470" s="12">
        <f t="shared" si="319"/>
        <v>1.0831925126738595</v>
      </c>
      <c r="P470" s="12">
        <f t="shared" si="319"/>
        <v>1.0831925126738593</v>
      </c>
      <c r="Q470" s="12"/>
    </row>
    <row r="471" spans="1:41" s="7" customFormat="1" ht="12.75" customHeight="1">
      <c r="A471" s="16"/>
      <c r="C471" s="7" t="s">
        <v>52</v>
      </c>
      <c r="D471" s="51">
        <f>D445+D446*D470</f>
        <v>0.10418115591963506</v>
      </c>
      <c r="E471" s="51">
        <f>E445+E446*E470</f>
        <v>0.10388134887479591</v>
      </c>
      <c r="F471" s="51">
        <f aca="true" t="shared" si="320" ref="F471:P471">F445+F446*F470</f>
        <v>0.10348648212040781</v>
      </c>
      <c r="G471" s="50">
        <f t="shared" si="320"/>
        <v>0.10332770050695436</v>
      </c>
      <c r="H471" s="51">
        <f t="shared" si="320"/>
        <v>0.10332770050695436</v>
      </c>
      <c r="I471" s="51">
        <f t="shared" si="320"/>
        <v>0.10332770050695436</v>
      </c>
      <c r="J471" s="51">
        <f t="shared" si="320"/>
        <v>0.10332770050695436</v>
      </c>
      <c r="K471" s="51">
        <f t="shared" si="320"/>
        <v>0.10332770050695439</v>
      </c>
      <c r="L471" s="51">
        <f t="shared" si="320"/>
        <v>0.10332770050695436</v>
      </c>
      <c r="M471" s="50">
        <f t="shared" si="320"/>
        <v>0.10332770050695436</v>
      </c>
      <c r="N471" s="51">
        <f t="shared" si="320"/>
        <v>0.10332770050695436</v>
      </c>
      <c r="O471" s="51">
        <f t="shared" si="320"/>
        <v>0.10332770050695439</v>
      </c>
      <c r="P471" s="51">
        <f t="shared" si="320"/>
        <v>0.10332770050695436</v>
      </c>
      <c r="Q471" s="51">
        <f>P471</f>
        <v>0.10332770050695436</v>
      </c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</row>
    <row r="472" spans="1:17" ht="12.75" customHeight="1">
      <c r="A472" s="16"/>
      <c r="C472" s="21" t="s">
        <v>53</v>
      </c>
      <c r="D472" s="12">
        <v>1</v>
      </c>
      <c r="E472" s="12">
        <f>1/(1+D471)</f>
        <v>0.9056484931289502</v>
      </c>
      <c r="F472" s="46">
        <f aca="true" t="shared" si="321" ref="F472:Q472">E472/(1+E471)</f>
        <v>0.8204219539102572</v>
      </c>
      <c r="G472" s="96">
        <f t="shared" si="321"/>
        <v>0.7434816531089469</v>
      </c>
      <c r="H472" s="46">
        <f t="shared" si="321"/>
        <v>0.6738538810974597</v>
      </c>
      <c r="I472" s="46">
        <f t="shared" si="321"/>
        <v>0.6107468169138135</v>
      </c>
      <c r="J472" s="46">
        <f t="shared" si="321"/>
        <v>0.5535497899972864</v>
      </c>
      <c r="K472" s="46">
        <f t="shared" si="321"/>
        <v>0.5017093196726075</v>
      </c>
      <c r="L472" s="46">
        <f t="shared" si="321"/>
        <v>0.45472375926216957</v>
      </c>
      <c r="M472" s="96">
        <f t="shared" si="321"/>
        <v>0.4121384417822866</v>
      </c>
      <c r="N472" s="46">
        <f t="shared" si="321"/>
        <v>0.3735412802496649</v>
      </c>
      <c r="O472" s="46">
        <f t="shared" si="321"/>
        <v>0.3385587800234065</v>
      </c>
      <c r="P472" s="46">
        <f t="shared" si="321"/>
        <v>0.30685242459501955</v>
      </c>
      <c r="Q472" s="46">
        <f t="shared" si="321"/>
        <v>0.2781153998526709</v>
      </c>
    </row>
    <row r="473" spans="1:17" ht="12.75" customHeight="1">
      <c r="A473" s="16"/>
      <c r="B473" s="42"/>
      <c r="C473" s="42" t="s">
        <v>122</v>
      </c>
      <c r="D473" s="42"/>
      <c r="E473" s="23">
        <f>E$40</f>
        <v>165</v>
      </c>
      <c r="F473" s="23">
        <f aca="true" t="shared" si="322" ref="F473:P473">F$40</f>
        <v>29</v>
      </c>
      <c r="G473" s="23">
        <f t="shared" si="322"/>
        <v>338</v>
      </c>
      <c r="H473" s="23">
        <f t="shared" si="322"/>
        <v>400.6500000000001</v>
      </c>
      <c r="I473" s="23">
        <f t="shared" si="322"/>
        <v>408.663</v>
      </c>
      <c r="J473" s="23">
        <f t="shared" si="322"/>
        <v>416.83626000000015</v>
      </c>
      <c r="K473" s="23">
        <f t="shared" si="322"/>
        <v>425.17298519999997</v>
      </c>
      <c r="L473" s="23">
        <f t="shared" si="322"/>
        <v>433.6764449039996</v>
      </c>
      <c r="M473" s="23">
        <f t="shared" si="322"/>
        <v>442.3499738020803</v>
      </c>
      <c r="N473" s="23">
        <f t="shared" si="322"/>
        <v>451.19697327812173</v>
      </c>
      <c r="O473" s="23">
        <f t="shared" si="322"/>
        <v>460.2209127436847</v>
      </c>
      <c r="P473" s="23">
        <f t="shared" si="322"/>
        <v>469.42533099855723</v>
      </c>
      <c r="Q473" s="1">
        <f>P473*(1+O$5)+P473*(1+O$5)*(1+O$5)/(P471-O$5)</f>
        <v>6339.8913832558155</v>
      </c>
    </row>
    <row r="474" spans="1:41" s="134" customFormat="1" ht="12.75" customHeight="1">
      <c r="A474" s="133"/>
      <c r="C474" s="135" t="s">
        <v>54</v>
      </c>
      <c r="D474" s="136"/>
      <c r="E474" s="136">
        <f>E473*E472</f>
        <v>149.43200136627678</v>
      </c>
      <c r="F474" s="136">
        <f>F473*F472</f>
        <v>23.792236663397457</v>
      </c>
      <c r="G474" s="137">
        <f aca="true" t="shared" si="323" ref="G474:Q474">G473*G472</f>
        <v>251.29679875082405</v>
      </c>
      <c r="H474" s="136">
        <f t="shared" si="323"/>
        <v>269.9795574616973</v>
      </c>
      <c r="I474" s="136">
        <f t="shared" si="323"/>
        <v>249.58962644044976</v>
      </c>
      <c r="J474" s="136">
        <f t="shared" si="323"/>
        <v>230.73962418625436</v>
      </c>
      <c r="K474" s="136">
        <f t="shared" si="323"/>
        <v>213.3132491478636</v>
      </c>
      <c r="L474" s="136">
        <f t="shared" si="323"/>
        <v>197.20298333019986</v>
      </c>
      <c r="M474" s="137">
        <f t="shared" si="323"/>
        <v>182.30942892522467</v>
      </c>
      <c r="N474" s="136">
        <f t="shared" si="323"/>
        <v>168.54069504308342</v>
      </c>
      <c r="O474" s="136">
        <f t="shared" si="323"/>
        <v>155.8118307597605</v>
      </c>
      <c r="P474" s="136">
        <f t="shared" si="323"/>
        <v>144.04430098322686</v>
      </c>
      <c r="Q474" s="136">
        <f t="shared" si="323"/>
        <v>1763.221427076694</v>
      </c>
      <c r="R474" s="138"/>
      <c r="S474" s="138"/>
      <c r="T474" s="138"/>
      <c r="U474" s="138"/>
      <c r="V474" s="138"/>
      <c r="W474" s="138"/>
      <c r="X474" s="138"/>
      <c r="Y474" s="138"/>
      <c r="Z474" s="138"/>
      <c r="AA474" s="138"/>
      <c r="AB474" s="138"/>
      <c r="AC474" s="138"/>
      <c r="AD474" s="138"/>
      <c r="AE474" s="138"/>
      <c r="AF474" s="138"/>
      <c r="AG474" s="138"/>
      <c r="AH474" s="138"/>
      <c r="AI474" s="138"/>
      <c r="AJ474" s="138"/>
      <c r="AK474" s="138"/>
      <c r="AL474" s="138"/>
      <c r="AM474" s="138"/>
      <c r="AN474" s="138"/>
      <c r="AO474" s="138"/>
    </row>
    <row r="475" spans="1:41" s="65" customFormat="1" ht="12.75" customHeight="1" thickBot="1">
      <c r="A475" s="64"/>
      <c r="C475" s="66" t="s">
        <v>55</v>
      </c>
      <c r="D475" s="79">
        <f>SUM(E474:$Q474)/D472</f>
        <v>3999.2737601349527</v>
      </c>
      <c r="E475" s="79">
        <f>SUM(F474:$Q474)/E472</f>
        <v>4250.922723304878</v>
      </c>
      <c r="F475" s="79">
        <f>SUM(G474:$Q474)/F472</f>
        <v>4663.514309764309</v>
      </c>
      <c r="G475" s="95">
        <f>SUM(H474:$Q474)/G472</f>
        <v>4808.124999999999</v>
      </c>
      <c r="H475" s="79">
        <f>SUM(I474:$Q474)/H472</f>
        <v>4904.2874999999985</v>
      </c>
      <c r="I475" s="79">
        <f>SUM(J474:$Q474)/I472</f>
        <v>5002.373249999999</v>
      </c>
      <c r="J475" s="79">
        <f>SUM(K474:$Q474)/J472</f>
        <v>5102.420714999998</v>
      </c>
      <c r="K475" s="79">
        <f>SUM(L474:$Q474)/K472</f>
        <v>5204.469129299997</v>
      </c>
      <c r="L475" s="79">
        <f>SUM(M474:$Q474)/L472</f>
        <v>5308.558511885997</v>
      </c>
      <c r="M475" s="95">
        <f>SUM(N474:$Q474)/M472</f>
        <v>5414.729682123718</v>
      </c>
      <c r="N475" s="79">
        <f>SUM(O474:$Q474)/N472</f>
        <v>5523.024275766191</v>
      </c>
      <c r="O475" s="79">
        <f>SUM(P474:$Q474)/O472</f>
        <v>5633.484761281514</v>
      </c>
      <c r="P475" s="79">
        <f>SUM(Q474:$Q474)/P472</f>
        <v>5746.1544565071445</v>
      </c>
      <c r="Q475" s="79"/>
      <c r="R475" s="69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K475" s="69"/>
      <c r="AL475" s="69"/>
      <c r="AM475" s="69"/>
      <c r="AN475" s="69"/>
      <c r="AO475" s="69"/>
    </row>
    <row r="476" spans="1:17" ht="12" customHeight="1">
      <c r="A476" s="16"/>
      <c r="C476" s="89" t="s">
        <v>56</v>
      </c>
      <c r="D476" s="68">
        <f>D475</f>
        <v>3999.2737601349527</v>
      </c>
      <c r="E476" s="68">
        <f aca="true" t="shared" si="324" ref="E476:P476">D476*(1+D471)-E473</f>
        <v>4250.922723304878</v>
      </c>
      <c r="F476" s="68">
        <f t="shared" si="324"/>
        <v>4663.514309764309</v>
      </c>
      <c r="G476" s="100">
        <f t="shared" si="324"/>
        <v>4808.124999999998</v>
      </c>
      <c r="H476" s="68">
        <f t="shared" si="324"/>
        <v>4904.2874999999985</v>
      </c>
      <c r="I476" s="68">
        <f t="shared" si="324"/>
        <v>5002.373249999999</v>
      </c>
      <c r="J476" s="68">
        <f t="shared" si="324"/>
        <v>5102.420714999998</v>
      </c>
      <c r="K476" s="68">
        <f t="shared" si="324"/>
        <v>5204.469129299999</v>
      </c>
      <c r="L476" s="68">
        <f t="shared" si="324"/>
        <v>5308.558511885999</v>
      </c>
      <c r="M476" s="100">
        <f t="shared" si="324"/>
        <v>5414.729682123719</v>
      </c>
      <c r="N476" s="68">
        <f t="shared" si="324"/>
        <v>5523.024275766193</v>
      </c>
      <c r="O476" s="68">
        <f t="shared" si="324"/>
        <v>5633.484761281516</v>
      </c>
      <c r="P476" s="68">
        <f t="shared" si="324"/>
        <v>5746.154456507146</v>
      </c>
      <c r="Q476" s="68"/>
    </row>
    <row r="477" spans="1:13" ht="9" customHeight="1">
      <c r="A477" s="16"/>
      <c r="D477" s="41"/>
      <c r="E477" s="5"/>
      <c r="M477" s="31"/>
    </row>
    <row r="478" spans="1:41" s="7" customFormat="1" ht="13.5" customHeight="1">
      <c r="A478" s="16"/>
      <c r="C478" s="7" t="s">
        <v>57</v>
      </c>
      <c r="D478" s="49">
        <f aca="true" t="shared" si="325" ref="D478:P478">(D476*D471+D458*D460-D454*D459*E$30)/(D476+D458)</f>
        <v>0.0899480521874921</v>
      </c>
      <c r="E478" s="49">
        <f t="shared" si="325"/>
        <v>0.09034925549492313</v>
      </c>
      <c r="F478" s="49">
        <f t="shared" si="325"/>
        <v>0.09095633790410194</v>
      </c>
      <c r="G478" s="49">
        <f t="shared" si="325"/>
        <v>0.09112256019023085</v>
      </c>
      <c r="H478" s="49">
        <f t="shared" si="325"/>
        <v>0.09112256019023085</v>
      </c>
      <c r="I478" s="49">
        <f t="shared" si="325"/>
        <v>0.09112256019023082</v>
      </c>
      <c r="J478" s="49">
        <f t="shared" si="325"/>
        <v>0.09112256019023085</v>
      </c>
      <c r="K478" s="49">
        <f t="shared" si="325"/>
        <v>0.09112256019023089</v>
      </c>
      <c r="L478" s="49">
        <f t="shared" si="325"/>
        <v>0.09112256019023084</v>
      </c>
      <c r="M478" s="49">
        <f t="shared" si="325"/>
        <v>0.09112256019023084</v>
      </c>
      <c r="N478" s="49">
        <f t="shared" si="325"/>
        <v>0.09112256019023084</v>
      </c>
      <c r="O478" s="49">
        <f t="shared" si="325"/>
        <v>0.09112256019023086</v>
      </c>
      <c r="P478" s="49">
        <f t="shared" si="325"/>
        <v>0.09112256019023084</v>
      </c>
      <c r="Q478" s="49">
        <f>P478</f>
        <v>0.09112256019023084</v>
      </c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</row>
    <row r="479" spans="1:17" ht="13.5" customHeight="1" hidden="1">
      <c r="A479" s="16"/>
      <c r="C479" s="21" t="s">
        <v>58</v>
      </c>
      <c r="D479" s="12">
        <v>1</v>
      </c>
      <c r="E479" s="12">
        <f>1/(1+D478)</f>
        <v>0.9174749181789269</v>
      </c>
      <c r="F479" s="12">
        <f aca="true" t="shared" si="326" ref="F479:Q479">E479/(1+E478)</f>
        <v>0.841450492633641</v>
      </c>
      <c r="G479" s="98">
        <f t="shared" si="326"/>
        <v>0.7712962136048445</v>
      </c>
      <c r="H479" s="12">
        <f t="shared" si="326"/>
        <v>0.7068832061087377</v>
      </c>
      <c r="I479" s="12">
        <f t="shared" si="326"/>
        <v>0.6478495009630236</v>
      </c>
      <c r="J479" s="12">
        <f t="shared" si="326"/>
        <v>0.5937458582563584</v>
      </c>
      <c r="K479" s="12">
        <f t="shared" si="326"/>
        <v>0.5441605553026438</v>
      </c>
      <c r="L479" s="12">
        <f t="shared" si="326"/>
        <v>0.49871625347731113</v>
      </c>
      <c r="M479" s="98">
        <f t="shared" si="326"/>
        <v>0.45706712671247757</v>
      </c>
      <c r="N479" s="12">
        <f t="shared" si="326"/>
        <v>0.4188962297991443</v>
      </c>
      <c r="O479" s="12">
        <f t="shared" si="326"/>
        <v>0.38391308646950917</v>
      </c>
      <c r="P479" s="12">
        <f t="shared" si="326"/>
        <v>0.3518514789049694</v>
      </c>
      <c r="Q479" s="12">
        <f t="shared" si="326"/>
        <v>0.3224674218482167</v>
      </c>
    </row>
    <row r="480" spans="1:17" ht="13.5" customHeight="1" hidden="1">
      <c r="A480" s="45"/>
      <c r="B480" s="42"/>
      <c r="C480" s="42" t="s">
        <v>31</v>
      </c>
      <c r="D480" s="42"/>
      <c r="E480" s="23">
        <f>E$41</f>
        <v>243</v>
      </c>
      <c r="F480" s="23">
        <f aca="true" t="shared" si="327" ref="F480:P480">F$41</f>
        <v>107</v>
      </c>
      <c r="G480" s="23">
        <f t="shared" si="327"/>
        <v>416</v>
      </c>
      <c r="H480" s="23">
        <f t="shared" si="327"/>
        <v>448.6500000000001</v>
      </c>
      <c r="I480" s="23">
        <f t="shared" si="327"/>
        <v>457.6229999999999</v>
      </c>
      <c r="J480" s="23">
        <f t="shared" si="327"/>
        <v>466.7754600000002</v>
      </c>
      <c r="K480" s="23">
        <f t="shared" si="327"/>
        <v>476.1109691999999</v>
      </c>
      <c r="L480" s="23">
        <f t="shared" si="327"/>
        <v>485.63318858399964</v>
      </c>
      <c r="M480" s="23">
        <f t="shared" si="327"/>
        <v>495.3458523556802</v>
      </c>
      <c r="N480" s="23">
        <f t="shared" si="327"/>
        <v>505.2527694027938</v>
      </c>
      <c r="O480" s="23">
        <f t="shared" si="327"/>
        <v>515.35782479085</v>
      </c>
      <c r="P480" s="23">
        <f t="shared" si="327"/>
        <v>525.6649812866659</v>
      </c>
      <c r="Q480" s="1">
        <f>P480*(1+O$5)+P480*(1+O$5)*(1+O$5)/(P478-O$5)</f>
        <v>8225.747456541822</v>
      </c>
    </row>
    <row r="481" spans="1:17" ht="13.5" customHeight="1" hidden="1">
      <c r="A481" s="16"/>
      <c r="C481" s="21" t="s">
        <v>38</v>
      </c>
      <c r="D481" s="1"/>
      <c r="E481" s="1">
        <f aca="true" t="shared" si="328" ref="E481:Q481">E480*E479</f>
        <v>222.94640511747923</v>
      </c>
      <c r="F481" s="1">
        <f t="shared" si="328"/>
        <v>90.03520271179958</v>
      </c>
      <c r="G481" s="29">
        <f t="shared" si="328"/>
        <v>320.8592248596153</v>
      </c>
      <c r="H481" s="1">
        <f t="shared" si="328"/>
        <v>317.14315042068523</v>
      </c>
      <c r="I481" s="1">
        <f t="shared" si="328"/>
        <v>296.4708321792017</v>
      </c>
      <c r="J481" s="1">
        <f t="shared" si="328"/>
        <v>277.1459961107066</v>
      </c>
      <c r="K481" s="1">
        <f t="shared" si="328"/>
        <v>259.0808093855519</v>
      </c>
      <c r="L481" s="1">
        <f t="shared" si="328"/>
        <v>242.1931643748528</v>
      </c>
      <c r="M481" s="29">
        <f t="shared" si="328"/>
        <v>226.4063054651539</v>
      </c>
      <c r="N481" s="1">
        <f t="shared" si="328"/>
        <v>211.64848019840676</v>
      </c>
      <c r="O481" s="1">
        <f t="shared" si="328"/>
        <v>197.85261315166775</v>
      </c>
      <c r="P481" s="1">
        <f t="shared" si="328"/>
        <v>184.95600107426645</v>
      </c>
      <c r="Q481" s="1">
        <f t="shared" si="328"/>
        <v>2652.535575085567</v>
      </c>
    </row>
    <row r="482" spans="1:17" ht="13.5" customHeight="1">
      <c r="A482" s="16"/>
      <c r="B482" s="4" t="s">
        <v>59</v>
      </c>
      <c r="C482" s="42" t="s">
        <v>60</v>
      </c>
      <c r="D482" s="18">
        <f>SUM(E481:$Q481)/D479</f>
        <v>5499.2737601349545</v>
      </c>
      <c r="E482" s="18">
        <f>SUM(F481:$Q481)/E479</f>
        <v>5750.922723304879</v>
      </c>
      <c r="F482" s="18">
        <f>SUM(G481:$Q481)/F479</f>
        <v>6163.514309764311</v>
      </c>
      <c r="G482" s="91">
        <f>SUM(H481:$Q481)/G479</f>
        <v>6308.125</v>
      </c>
      <c r="H482" s="18">
        <f>SUM(I481:$Q481)/H479</f>
        <v>6434.2875</v>
      </c>
      <c r="I482" s="18">
        <f>SUM(J481:$Q481)/I479</f>
        <v>6562.973249999999</v>
      </c>
      <c r="J482" s="18">
        <f>SUM(K481:$Q481)/J479</f>
        <v>6694.232714999998</v>
      </c>
      <c r="K482" s="18">
        <f>SUM(L481:$Q481)/K479</f>
        <v>6828.117369299998</v>
      </c>
      <c r="L482" s="18">
        <f>SUM(M481:$Q481)/L479</f>
        <v>6964.679716685998</v>
      </c>
      <c r="M482" s="91">
        <f>SUM(N481:$Q481)/M479</f>
        <v>7103.973311019718</v>
      </c>
      <c r="N482" s="18">
        <f>SUM(O481:$Q481)/N479</f>
        <v>7246.052777240111</v>
      </c>
      <c r="O482" s="18">
        <f>SUM(P481:$Q481)/O479</f>
        <v>7390.973832784912</v>
      </c>
      <c r="P482" s="18">
        <f>SUM(Q481:$Q481)/P479</f>
        <v>7538.79330944061</v>
      </c>
      <c r="Q482" s="18"/>
    </row>
    <row r="483" spans="1:41" s="65" customFormat="1" ht="12.75" customHeight="1" thickBot="1">
      <c r="A483" s="64"/>
      <c r="B483" s="65" t="s">
        <v>48</v>
      </c>
      <c r="C483" s="77" t="s">
        <v>61</v>
      </c>
      <c r="D483" s="79">
        <f aca="true" t="shared" si="329" ref="D483:P483">D482-D458</f>
        <v>3999.2737601349563</v>
      </c>
      <c r="E483" s="79">
        <f t="shared" si="329"/>
        <v>4250.9227233048805</v>
      </c>
      <c r="F483" s="79">
        <f t="shared" si="329"/>
        <v>4663.514309764313</v>
      </c>
      <c r="G483" s="95">
        <f t="shared" si="329"/>
        <v>4808.125000000002</v>
      </c>
      <c r="H483" s="79">
        <f t="shared" si="329"/>
        <v>4904.287500000002</v>
      </c>
      <c r="I483" s="79">
        <f t="shared" si="329"/>
        <v>5002.373250000001</v>
      </c>
      <c r="J483" s="79">
        <f t="shared" si="329"/>
        <v>5102.420715</v>
      </c>
      <c r="K483" s="79">
        <f t="shared" si="329"/>
        <v>5204.4691293</v>
      </c>
      <c r="L483" s="79">
        <f t="shared" si="329"/>
        <v>5308.558511886</v>
      </c>
      <c r="M483" s="95">
        <f t="shared" si="329"/>
        <v>5414.72968212372</v>
      </c>
      <c r="N483" s="79">
        <f t="shared" si="329"/>
        <v>5523.024275766193</v>
      </c>
      <c r="O483" s="79">
        <f t="shared" si="329"/>
        <v>5633.484761281515</v>
      </c>
      <c r="P483" s="79">
        <f t="shared" si="329"/>
        <v>5746.154456507145</v>
      </c>
      <c r="Q483" s="108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K483" s="69"/>
      <c r="AL483" s="69"/>
      <c r="AM483" s="69"/>
      <c r="AN483" s="69"/>
      <c r="AO483" s="69"/>
    </row>
    <row r="484" spans="1:17" ht="12.75" customHeight="1">
      <c r="A484" s="16"/>
      <c r="C484" s="72" t="s">
        <v>62</v>
      </c>
      <c r="D484" s="70">
        <f>D482</f>
        <v>5499.2737601349545</v>
      </c>
      <c r="E484" s="70">
        <f aca="true" t="shared" si="330" ref="E484:P484">D484*(1+D478)-E437</f>
        <v>1911.2574340486808</v>
      </c>
      <c r="F484" s="70">
        <f t="shared" si="330"/>
        <v>-2407.9936979077015</v>
      </c>
      <c r="G484" s="29">
        <f t="shared" si="330"/>
        <v>-7260.140986365541</v>
      </c>
      <c r="H484" s="70">
        <f t="shared" si="330"/>
        <v>-12647.491120385195</v>
      </c>
      <c r="I484" s="70">
        <f t="shared" si="330"/>
        <v>-18620.266141257904</v>
      </c>
      <c r="J484" s="70">
        <f t="shared" si="330"/>
        <v>-25233.701778472794</v>
      </c>
      <c r="K484" s="70">
        <f t="shared" si="330"/>
        <v>-32548.104788904013</v>
      </c>
      <c r="L484" s="70">
        <f t="shared" si="330"/>
        <v>-40629.315797934854</v>
      </c>
      <c r="M484" s="29">
        <f t="shared" si="330"/>
        <v>-49549.21433097259</v>
      </c>
      <c r="N484" s="70">
        <f t="shared" si="330"/>
        <v>-59386.26988015285</v>
      </c>
      <c r="O484" s="70">
        <f t="shared" si="330"/>
        <v>-70226.14320138648</v>
      </c>
      <c r="P484" s="70">
        <f t="shared" si="330"/>
        <v>-82162.34241918083</v>
      </c>
      <c r="Q484" s="88"/>
    </row>
    <row r="485" spans="1:17" ht="6.75" customHeight="1">
      <c r="A485" s="16"/>
      <c r="C485" s="6"/>
      <c r="D485" s="6"/>
      <c r="E485" s="44"/>
      <c r="F485" s="44"/>
      <c r="G485" s="30"/>
      <c r="H485" s="44"/>
      <c r="I485" s="44"/>
      <c r="J485" s="44"/>
      <c r="K485" s="44"/>
      <c r="L485" s="44"/>
      <c r="M485" s="30"/>
      <c r="N485" s="44"/>
      <c r="O485" s="44"/>
      <c r="P485" s="44"/>
      <c r="Q485" s="44"/>
    </row>
    <row r="486" spans="1:41" s="7" customFormat="1" ht="13.5" customHeight="1">
      <c r="A486" s="16"/>
      <c r="C486" s="7" t="s">
        <v>63</v>
      </c>
      <c r="D486" s="49">
        <f aca="true" t="shared" si="331" ref="D486:P486">(D458*D460+D467*D471)/(D458+D467)</f>
        <v>0.09758542429005303</v>
      </c>
      <c r="E486" s="49">
        <f t="shared" si="331"/>
        <v>0.09765243135395536</v>
      </c>
      <c r="F486" s="49">
        <f t="shared" si="331"/>
        <v>0.09777063213449955</v>
      </c>
      <c r="G486" s="132">
        <f t="shared" si="331"/>
        <v>0.0977806400475577</v>
      </c>
      <c r="H486" s="49">
        <f t="shared" si="331"/>
        <v>0.09778064004755771</v>
      </c>
      <c r="I486" s="49">
        <f t="shared" si="331"/>
        <v>0.0977806400475577</v>
      </c>
      <c r="J486" s="49">
        <f t="shared" si="331"/>
        <v>0.09778064004755768</v>
      </c>
      <c r="K486" s="49">
        <f t="shared" si="331"/>
        <v>0.09778064004755772</v>
      </c>
      <c r="L486" s="49">
        <f t="shared" si="331"/>
        <v>0.09778064004755772</v>
      </c>
      <c r="M486" s="132">
        <f t="shared" si="331"/>
        <v>0.09778064004755771</v>
      </c>
      <c r="N486" s="49">
        <f t="shared" si="331"/>
        <v>0.0977806400475577</v>
      </c>
      <c r="O486" s="49">
        <f t="shared" si="331"/>
        <v>0.09778064004755772</v>
      </c>
      <c r="P486" s="49">
        <f t="shared" si="331"/>
        <v>0.0977806400475577</v>
      </c>
      <c r="Q486" s="49">
        <f>P486</f>
        <v>0.0977806400475577</v>
      </c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</row>
    <row r="487" spans="1:17" ht="13.5" customHeight="1" hidden="1">
      <c r="A487" s="16"/>
      <c r="C487" s="21" t="s">
        <v>64</v>
      </c>
      <c r="D487" s="12">
        <v>1</v>
      </c>
      <c r="E487" s="12">
        <f>1/(1+D486)</f>
        <v>0.9110908161401889</v>
      </c>
      <c r="F487" s="12">
        <f aca="true" t="shared" si="332" ref="F487:Q487">E487/(1+E486)</f>
        <v>0.8300358019672562</v>
      </c>
      <c r="G487" s="98">
        <f t="shared" si="332"/>
        <v>0.7561104092877207</v>
      </c>
      <c r="H487" s="12">
        <f t="shared" si="332"/>
        <v>0.6887627470411254</v>
      </c>
      <c r="I487" s="12">
        <f t="shared" si="332"/>
        <v>0.6274138219556203</v>
      </c>
      <c r="J487" s="12">
        <f t="shared" si="332"/>
        <v>0.5715293193077624</v>
      </c>
      <c r="K487" s="12">
        <f t="shared" si="332"/>
        <v>0.5206225164282391</v>
      </c>
      <c r="L487" s="12">
        <f t="shared" si="332"/>
        <v>0.4742500436204493</v>
      </c>
      <c r="M487" s="98">
        <f t="shared" si="332"/>
        <v>0.43200802265915705</v>
      </c>
      <c r="N487" s="12">
        <f t="shared" si="332"/>
        <v>0.3935285492377072</v>
      </c>
      <c r="O487" s="12">
        <f t="shared" si="332"/>
        <v>0.3584764887278928</v>
      </c>
      <c r="P487" s="12">
        <f t="shared" si="332"/>
        <v>0.326546557345339</v>
      </c>
      <c r="Q487" s="12">
        <f t="shared" si="332"/>
        <v>0.29746066329899246</v>
      </c>
    </row>
    <row r="488" spans="1:17" ht="13.5" customHeight="1" hidden="1">
      <c r="A488" s="45"/>
      <c r="B488" s="42"/>
      <c r="C488" s="42" t="s">
        <v>33</v>
      </c>
      <c r="D488" s="42"/>
      <c r="E488" s="23">
        <f>E$43</f>
        <v>285</v>
      </c>
      <c r="F488" s="23">
        <f aca="true" t="shared" si="333" ref="F488:P488">F$43</f>
        <v>149</v>
      </c>
      <c r="G488" s="23">
        <f t="shared" si="333"/>
        <v>458</v>
      </c>
      <c r="H488" s="23">
        <f t="shared" si="333"/>
        <v>490.6500000000001</v>
      </c>
      <c r="I488" s="23">
        <f t="shared" si="333"/>
        <v>500.46299999999985</v>
      </c>
      <c r="J488" s="23">
        <f t="shared" si="333"/>
        <v>510.4722600000002</v>
      </c>
      <c r="K488" s="23">
        <f t="shared" si="333"/>
        <v>520.6817051999999</v>
      </c>
      <c r="L488" s="23">
        <f t="shared" si="333"/>
        <v>531.0953393039996</v>
      </c>
      <c r="M488" s="23">
        <f t="shared" si="333"/>
        <v>541.7172460900803</v>
      </c>
      <c r="N488" s="23">
        <f t="shared" si="333"/>
        <v>552.5515910118818</v>
      </c>
      <c r="O488" s="23">
        <f t="shared" si="333"/>
        <v>563.6026228321198</v>
      </c>
      <c r="P488" s="23">
        <f t="shared" si="333"/>
        <v>574.8746752887611</v>
      </c>
      <c r="Q488" s="1">
        <f>P488*(1+O$5)+P488*(1+O$5)*(1+O$5)/(P486-O$5)</f>
        <v>8275.941344423958</v>
      </c>
    </row>
    <row r="489" spans="1:17" ht="13.5" customHeight="1" hidden="1">
      <c r="A489" s="16"/>
      <c r="C489" s="21" t="s">
        <v>65</v>
      </c>
      <c r="D489" s="1"/>
      <c r="E489" s="1">
        <f aca="true" t="shared" si="334" ref="E489:Q489">E488*E487</f>
        <v>259.6608825999538</v>
      </c>
      <c r="F489" s="1">
        <f t="shared" si="334"/>
        <v>123.67533449312118</v>
      </c>
      <c r="G489" s="29">
        <f t="shared" si="334"/>
        <v>346.29856745377606</v>
      </c>
      <c r="H489" s="1">
        <f t="shared" si="334"/>
        <v>337.94144183572826</v>
      </c>
      <c r="I489" s="1">
        <f t="shared" si="334"/>
        <v>313.9974035773755</v>
      </c>
      <c r="J489" s="1">
        <f t="shared" si="334"/>
        <v>291.7498632832952</v>
      </c>
      <c r="K489" s="1">
        <f t="shared" si="334"/>
        <v>271.0786196193705</v>
      </c>
      <c r="L489" s="1">
        <f t="shared" si="334"/>
        <v>251.87198783153914</v>
      </c>
      <c r="M489" s="29">
        <f t="shared" si="334"/>
        <v>234.02619632373955</v>
      </c>
      <c r="N489" s="1">
        <f t="shared" si="334"/>
        <v>217.44482598989276</v>
      </c>
      <c r="O489" s="1">
        <f t="shared" si="334"/>
        <v>202.0382892706892</v>
      </c>
      <c r="P489" s="1">
        <f t="shared" si="334"/>
        <v>187.72334612056454</v>
      </c>
      <c r="Q489" s="1">
        <f t="shared" si="334"/>
        <v>2461.767001735906</v>
      </c>
    </row>
    <row r="490" spans="1:17" ht="13.5" customHeight="1">
      <c r="A490" s="16"/>
      <c r="B490" s="4" t="s">
        <v>59</v>
      </c>
      <c r="C490" s="42" t="s">
        <v>66</v>
      </c>
      <c r="D490" s="18">
        <f>SUM(E489:$Q489)/D487</f>
        <v>5499.273760134952</v>
      </c>
      <c r="E490" s="18">
        <f>SUM(F489:$Q489)/E487</f>
        <v>5750.922723304878</v>
      </c>
      <c r="F490" s="18">
        <f>SUM(G489:$Q489)/F487</f>
        <v>6163.514309764308</v>
      </c>
      <c r="G490" s="91">
        <f>SUM(H489:$Q489)/G487</f>
        <v>6308.124999999997</v>
      </c>
      <c r="H490" s="18">
        <f>SUM(I489:$Q489)/H487</f>
        <v>6434.287499999997</v>
      </c>
      <c r="I490" s="18">
        <f>SUM(J489:$Q489)/I487</f>
        <v>6562.973249999996</v>
      </c>
      <c r="J490" s="18">
        <f>SUM(K489:$Q489)/J487</f>
        <v>6694.232714999996</v>
      </c>
      <c r="K490" s="18">
        <f>SUM(L489:$Q489)/K487</f>
        <v>6828.117369299995</v>
      </c>
      <c r="L490" s="18">
        <f>SUM(M489:$Q489)/L487</f>
        <v>6964.679716685996</v>
      </c>
      <c r="M490" s="91">
        <f>SUM(N489:$Q489)/M487</f>
        <v>7103.973311019716</v>
      </c>
      <c r="N490" s="18">
        <f>SUM(O489:$Q489)/N487</f>
        <v>7246.05277724011</v>
      </c>
      <c r="O490" s="18">
        <f>SUM(P489:$Q489)/O487</f>
        <v>7390.973832784911</v>
      </c>
      <c r="P490" s="18">
        <f>SUM(Q489:$Q489)/P487</f>
        <v>7538.79330944061</v>
      </c>
      <c r="Q490" s="18"/>
    </row>
    <row r="491" spans="1:41" s="65" customFormat="1" ht="12.75" customHeight="1" thickBot="1">
      <c r="A491" s="64"/>
      <c r="B491" s="65" t="s">
        <v>48</v>
      </c>
      <c r="C491" s="77" t="s">
        <v>67</v>
      </c>
      <c r="D491" s="79">
        <f aca="true" t="shared" si="335" ref="D491:P491">D490-D458</f>
        <v>3999.2737601349536</v>
      </c>
      <c r="E491" s="79">
        <f t="shared" si="335"/>
        <v>4250.92272330488</v>
      </c>
      <c r="F491" s="79">
        <f t="shared" si="335"/>
        <v>4663.5143097643095</v>
      </c>
      <c r="G491" s="95">
        <f t="shared" si="335"/>
        <v>4808.124999999999</v>
      </c>
      <c r="H491" s="79">
        <f t="shared" si="335"/>
        <v>4904.2874999999985</v>
      </c>
      <c r="I491" s="79">
        <f t="shared" si="335"/>
        <v>5002.373249999998</v>
      </c>
      <c r="J491" s="79">
        <f t="shared" si="335"/>
        <v>5102.4207149999975</v>
      </c>
      <c r="K491" s="79">
        <f t="shared" si="335"/>
        <v>5204.469129299996</v>
      </c>
      <c r="L491" s="79">
        <f t="shared" si="335"/>
        <v>5308.558511885998</v>
      </c>
      <c r="M491" s="95">
        <f t="shared" si="335"/>
        <v>5414.729682123718</v>
      </c>
      <c r="N491" s="79">
        <f t="shared" si="335"/>
        <v>5523.024275766192</v>
      </c>
      <c r="O491" s="79">
        <f t="shared" si="335"/>
        <v>5633.484761281514</v>
      </c>
      <c r="P491" s="79">
        <f t="shared" si="335"/>
        <v>5746.154456507145</v>
      </c>
      <c r="Q491" s="108"/>
      <c r="R491" s="69"/>
      <c r="S491" s="69"/>
      <c r="T491" s="69"/>
      <c r="U491" s="69"/>
      <c r="V491" s="69"/>
      <c r="W491" s="69"/>
      <c r="X491" s="69"/>
      <c r="Y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K491" s="69"/>
      <c r="AL491" s="69"/>
      <c r="AM491" s="69"/>
      <c r="AN491" s="69"/>
      <c r="AO491" s="69"/>
    </row>
    <row r="492" spans="1:17" ht="7.5" customHeight="1">
      <c r="A492" s="16"/>
      <c r="D492" s="40"/>
      <c r="E492" s="40"/>
      <c r="F492" s="40"/>
      <c r="G492" s="33"/>
      <c r="H492" s="40"/>
      <c r="I492" s="40"/>
      <c r="J492" s="22"/>
      <c r="K492" s="22"/>
      <c r="L492" s="22"/>
      <c r="M492" s="26"/>
      <c r="N492" s="22"/>
      <c r="O492" s="22"/>
      <c r="P492" s="22"/>
      <c r="Q492" s="22"/>
    </row>
    <row r="493" spans="1:17" ht="12.75" customHeight="1">
      <c r="A493" s="16"/>
      <c r="C493" s="73" t="s">
        <v>68</v>
      </c>
      <c r="D493" s="70"/>
      <c r="E493" s="70">
        <f aca="true" t="shared" si="336" ref="E493:P493">E$29-D$14*D471</f>
        <v>142.90942204018248</v>
      </c>
      <c r="F493" s="70">
        <f t="shared" si="336"/>
        <v>308.94288509635817</v>
      </c>
      <c r="G493" s="70">
        <f t="shared" si="336"/>
        <v>313.4841929658472</v>
      </c>
      <c r="H493" s="70">
        <f t="shared" si="336"/>
        <v>323.15523852853255</v>
      </c>
      <c r="I493" s="70">
        <f t="shared" si="336"/>
        <v>329.61834329910323</v>
      </c>
      <c r="J493" s="70">
        <f t="shared" si="336"/>
        <v>336.2107101650853</v>
      </c>
      <c r="K493" s="70">
        <f t="shared" si="336"/>
        <v>342.9349243683868</v>
      </c>
      <c r="L493" s="70">
        <f t="shared" si="336"/>
        <v>349.7936228557547</v>
      </c>
      <c r="M493" s="70">
        <f t="shared" si="336"/>
        <v>356.78949531286975</v>
      </c>
      <c r="N493" s="70">
        <f t="shared" si="336"/>
        <v>363.9252852191272</v>
      </c>
      <c r="O493" s="70">
        <f t="shared" si="336"/>
        <v>371.20379092350964</v>
      </c>
      <c r="P493" s="70">
        <f t="shared" si="336"/>
        <v>378.62786674198</v>
      </c>
      <c r="Q493" s="1">
        <f>P493*(1+O$5)+P493*(1+O$5)*(1+O$5)/(P471-O$5)</f>
        <v>5113.61315911899</v>
      </c>
    </row>
    <row r="494" spans="1:41" s="42" customFormat="1" ht="12.75" customHeight="1">
      <c r="A494" s="45"/>
      <c r="C494" s="39" t="s">
        <v>69</v>
      </c>
      <c r="D494" s="18"/>
      <c r="E494" s="18">
        <f aca="true" t="shared" si="337" ref="E494:P494">E$29+E$25*(1-$F$1)-(D$13+D$14)*D478</f>
        <v>93.10389562501578</v>
      </c>
      <c r="F494" s="18">
        <f t="shared" si="337"/>
        <v>258.591011345306</v>
      </c>
      <c r="G494" s="18">
        <f t="shared" si="337"/>
        <v>265.88826085679887</v>
      </c>
      <c r="H494" s="18">
        <f t="shared" si="337"/>
        <v>275.82217873773914</v>
      </c>
      <c r="I494" s="18">
        <f t="shared" si="337"/>
        <v>281.33862231249395</v>
      </c>
      <c r="J494" s="18">
        <f t="shared" si="337"/>
        <v>286.9653947587439</v>
      </c>
      <c r="K494" s="18">
        <f t="shared" si="337"/>
        <v>292.7047026539186</v>
      </c>
      <c r="L494" s="18">
        <f t="shared" si="337"/>
        <v>298.558796706997</v>
      </c>
      <c r="M494" s="18">
        <f t="shared" si="337"/>
        <v>304.5299726411369</v>
      </c>
      <c r="N494" s="18">
        <f t="shared" si="337"/>
        <v>310.6205720939598</v>
      </c>
      <c r="O494" s="18">
        <f t="shared" si="337"/>
        <v>316.8329835358389</v>
      </c>
      <c r="P494" s="18">
        <f t="shared" si="337"/>
        <v>323.16964320655575</v>
      </c>
      <c r="Q494" s="36"/>
      <c r="R494" s="69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K494" s="69"/>
      <c r="AL494" s="69"/>
      <c r="AM494" s="69"/>
      <c r="AN494" s="69"/>
      <c r="AO494" s="69"/>
    </row>
    <row r="495" spans="1:17" ht="12.75" customHeight="1">
      <c r="A495" s="16"/>
      <c r="C495" s="56"/>
      <c r="D495" s="70"/>
      <c r="E495" s="70"/>
      <c r="F495" s="70"/>
      <c r="G495" s="29"/>
      <c r="H495" s="70"/>
      <c r="I495" s="70"/>
      <c r="J495" s="70"/>
      <c r="K495" s="70"/>
      <c r="L495" s="70"/>
      <c r="M495" s="29"/>
      <c r="N495" s="70"/>
      <c r="O495" s="70"/>
      <c r="P495" s="70"/>
      <c r="Q495" s="71"/>
    </row>
    <row r="496" spans="1:17" ht="12.75" customHeight="1" hidden="1">
      <c r="A496" s="16"/>
      <c r="C496" s="21" t="s">
        <v>53</v>
      </c>
      <c r="D496" s="70"/>
      <c r="E496" s="70">
        <f aca="true" t="shared" si="338" ref="E496:P496">E472</f>
        <v>0.9056484931289502</v>
      </c>
      <c r="F496" s="70">
        <f t="shared" si="338"/>
        <v>0.8204219539102572</v>
      </c>
      <c r="G496" s="29">
        <f t="shared" si="338"/>
        <v>0.7434816531089469</v>
      </c>
      <c r="H496" s="70">
        <f t="shared" si="338"/>
        <v>0.6738538810974597</v>
      </c>
      <c r="I496" s="70">
        <f t="shared" si="338"/>
        <v>0.6107468169138135</v>
      </c>
      <c r="J496" s="70">
        <f t="shared" si="338"/>
        <v>0.5535497899972864</v>
      </c>
      <c r="K496" s="70">
        <f t="shared" si="338"/>
        <v>0.5017093196726075</v>
      </c>
      <c r="L496" s="70">
        <f t="shared" si="338"/>
        <v>0.45472375926216957</v>
      </c>
      <c r="M496" s="29">
        <f t="shared" si="338"/>
        <v>0.4121384417822866</v>
      </c>
      <c r="N496" s="70">
        <f t="shared" si="338"/>
        <v>0.3735412802496649</v>
      </c>
      <c r="O496" s="70">
        <f t="shared" si="338"/>
        <v>0.3385587800234065</v>
      </c>
      <c r="P496" s="70">
        <f t="shared" si="338"/>
        <v>0.30685242459501955</v>
      </c>
      <c r="Q496" s="74">
        <f>P496/(1+$P471)</f>
        <v>0.2781153998526709</v>
      </c>
    </row>
    <row r="497" spans="1:17" ht="12.75" customHeight="1" hidden="1">
      <c r="A497" s="16"/>
      <c r="C497" s="21" t="s">
        <v>70</v>
      </c>
      <c r="D497" s="1"/>
      <c r="E497" s="1">
        <f>E493*E496</f>
        <v>129.42570272462044</v>
      </c>
      <c r="F497" s="1">
        <f aca="true" t="shared" si="339" ref="F497:Q497">F493*F496</f>
        <v>253.46352543742626</v>
      </c>
      <c r="G497" s="29">
        <f t="shared" si="339"/>
        <v>233.0697460097722</v>
      </c>
      <c r="H497" s="1">
        <f t="shared" si="339"/>
        <v>217.759411679427</v>
      </c>
      <c r="I497" s="1">
        <f t="shared" si="339"/>
        <v>201.31335396633193</v>
      </c>
      <c r="J497" s="1">
        <f t="shared" si="339"/>
        <v>186.1093680067215</v>
      </c>
      <c r="K497" s="1">
        <f t="shared" si="339"/>
        <v>172.05364759684045</v>
      </c>
      <c r="L497" s="1">
        <f t="shared" si="339"/>
        <v>159.0594711509023</v>
      </c>
      <c r="M497" s="29">
        <f t="shared" si="339"/>
        <v>147.04666664253457</v>
      </c>
      <c r="N497" s="1">
        <f t="shared" si="339"/>
        <v>135.9411169559772</v>
      </c>
      <c r="O497" s="1">
        <f t="shared" si="339"/>
        <v>125.67430259512707</v>
      </c>
      <c r="P497" s="1">
        <f t="shared" si="339"/>
        <v>116.18287892901652</v>
      </c>
      <c r="Q497" s="1">
        <f t="shared" si="339"/>
        <v>1422.1745684402574</v>
      </c>
    </row>
    <row r="498" spans="1:17" ht="12.75" customHeight="1">
      <c r="A498" s="16"/>
      <c r="C498" s="42" t="s">
        <v>71</v>
      </c>
      <c r="D498" s="18">
        <f>SUM(E497:$Q497)/D472</f>
        <v>3499.2737601349545</v>
      </c>
      <c r="E498" s="18">
        <f>SUM(F497:$Q497)/E472</f>
        <v>3720.9227233048796</v>
      </c>
      <c r="F498" s="18">
        <f>SUM(G497:$Q497)/F472</f>
        <v>3798.5143097643113</v>
      </c>
      <c r="G498" s="91">
        <f>SUM(H497:$Q497)/G472</f>
        <v>3878.125000000002</v>
      </c>
      <c r="H498" s="18">
        <f>SUM(I497:$Q497)/H472</f>
        <v>3955.6875000000023</v>
      </c>
      <c r="I498" s="18">
        <f>SUM(J497:$Q497)/I472</f>
        <v>4034.801250000002</v>
      </c>
      <c r="J498" s="18">
        <f>SUM(K497:$Q497)/J472</f>
        <v>4115.4972750000015</v>
      </c>
      <c r="K498" s="18">
        <f>SUM(L497:$Q497)/K472</f>
        <v>4197.807220500002</v>
      </c>
      <c r="L498" s="18">
        <f>SUM(M497:$Q497)/L472</f>
        <v>4281.763364910002</v>
      </c>
      <c r="M498" s="91">
        <f>SUM(N497:$Q497)/M472</f>
        <v>4367.398632208202</v>
      </c>
      <c r="N498" s="18">
        <f>SUM(O497:$Q497)/N472</f>
        <v>4454.7466048523665</v>
      </c>
      <c r="O498" s="18">
        <f>SUM(P497:$Q497)/O472</f>
        <v>4543.841536949414</v>
      </c>
      <c r="P498" s="18">
        <f>SUM(Q497:$Q497)/P472</f>
        <v>4634.7183676884015</v>
      </c>
      <c r="Q498" s="71"/>
    </row>
    <row r="499" spans="1:41" s="65" customFormat="1" ht="12.75" customHeight="1" thickBot="1">
      <c r="A499" s="64"/>
      <c r="B499" s="65" t="s">
        <v>72</v>
      </c>
      <c r="C499" s="77" t="s">
        <v>73</v>
      </c>
      <c r="D499" s="79">
        <f aca="true" t="shared" si="340" ref="D499:P499">D498+D$14</f>
        <v>3999.2737601349545</v>
      </c>
      <c r="E499" s="79">
        <f t="shared" si="340"/>
        <v>4250.92272330488</v>
      </c>
      <c r="F499" s="79">
        <f t="shared" si="340"/>
        <v>4663.514309764311</v>
      </c>
      <c r="G499" s="79">
        <f t="shared" si="340"/>
        <v>4808.125000000002</v>
      </c>
      <c r="H499" s="79">
        <f t="shared" si="340"/>
        <v>4904.287500000002</v>
      </c>
      <c r="I499" s="79">
        <f t="shared" si="340"/>
        <v>5002.373250000002</v>
      </c>
      <c r="J499" s="79">
        <f t="shared" si="340"/>
        <v>5102.420715000002</v>
      </c>
      <c r="K499" s="79">
        <f t="shared" si="340"/>
        <v>5204.469129300001</v>
      </c>
      <c r="L499" s="79">
        <f t="shared" si="340"/>
        <v>5308.558511886002</v>
      </c>
      <c r="M499" s="79">
        <f t="shared" si="340"/>
        <v>5414.729682123722</v>
      </c>
      <c r="N499" s="79">
        <f t="shared" si="340"/>
        <v>5523.024275766197</v>
      </c>
      <c r="O499" s="79">
        <f t="shared" si="340"/>
        <v>5633.484761281521</v>
      </c>
      <c r="P499" s="79">
        <f t="shared" si="340"/>
        <v>5746.154456507151</v>
      </c>
      <c r="Q499" s="90"/>
      <c r="R499" s="69"/>
      <c r="S499" s="69"/>
      <c r="T499" s="69"/>
      <c r="U499" s="69"/>
      <c r="V499" s="69"/>
      <c r="W499" s="69"/>
      <c r="X499" s="69"/>
      <c r="Y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  <c r="AK499" s="69"/>
      <c r="AL499" s="69"/>
      <c r="AM499" s="69"/>
      <c r="AN499" s="69"/>
      <c r="AO499" s="69"/>
    </row>
    <row r="500" spans="1:17" s="69" customFormat="1" ht="6.75" customHeight="1">
      <c r="A500" s="55"/>
      <c r="C500" s="56"/>
      <c r="D500" s="57"/>
      <c r="E500" s="57"/>
      <c r="F500" s="57"/>
      <c r="G500" s="97"/>
      <c r="H500" s="57"/>
      <c r="I500" s="57"/>
      <c r="J500" s="57"/>
      <c r="K500" s="57"/>
      <c r="L500" s="57"/>
      <c r="M500" s="97"/>
      <c r="N500" s="57"/>
      <c r="O500" s="57"/>
      <c r="P500" s="57"/>
      <c r="Q500" s="71"/>
    </row>
    <row r="501" spans="1:17" s="69" customFormat="1" ht="12" customHeight="1" hidden="1">
      <c r="A501" s="75"/>
      <c r="C501" s="69" t="s">
        <v>69</v>
      </c>
      <c r="D501" s="58"/>
      <c r="E501" s="58">
        <f aca="true" t="shared" si="341" ref="E501:P501">E494</f>
        <v>93.10389562501578</v>
      </c>
      <c r="F501" s="58">
        <f t="shared" si="341"/>
        <v>258.591011345306</v>
      </c>
      <c r="G501" s="93">
        <f t="shared" si="341"/>
        <v>265.88826085679887</v>
      </c>
      <c r="H501" s="58">
        <f t="shared" si="341"/>
        <v>275.82217873773914</v>
      </c>
      <c r="I501" s="58">
        <f t="shared" si="341"/>
        <v>281.33862231249395</v>
      </c>
      <c r="J501" s="58">
        <f t="shared" si="341"/>
        <v>286.9653947587439</v>
      </c>
      <c r="K501" s="58">
        <f t="shared" si="341"/>
        <v>292.7047026539186</v>
      </c>
      <c r="L501" s="58">
        <f t="shared" si="341"/>
        <v>298.558796706997</v>
      </c>
      <c r="M501" s="93">
        <f t="shared" si="341"/>
        <v>304.5299726411369</v>
      </c>
      <c r="N501" s="58">
        <f t="shared" si="341"/>
        <v>310.6205720939598</v>
      </c>
      <c r="O501" s="58">
        <f t="shared" si="341"/>
        <v>316.8329835358389</v>
      </c>
      <c r="P501" s="58">
        <f t="shared" si="341"/>
        <v>323.16964320655575</v>
      </c>
      <c r="Q501" s="1">
        <f>P501*(1+O$5)+P501*(1+O$5)*(1+O$5)/(P478-O$5)</f>
        <v>5057.045771112858</v>
      </c>
    </row>
    <row r="502" spans="1:17" ht="12" customHeight="1" hidden="1">
      <c r="A502" s="16"/>
      <c r="C502" s="21" t="s">
        <v>74</v>
      </c>
      <c r="D502" s="1"/>
      <c r="E502" s="1">
        <f>E501*E479</f>
        <v>85.4204890207007</v>
      </c>
      <c r="F502" s="1">
        <f aca="true" t="shared" si="342" ref="F502:Q502">F501*F479</f>
        <v>217.5915338871392</v>
      </c>
      <c r="G502" s="29">
        <f t="shared" si="342"/>
        <v>205.07860884082615</v>
      </c>
      <c r="H502" s="1">
        <f t="shared" si="342"/>
        <v>194.97406602203034</v>
      </c>
      <c r="I502" s="1">
        <f t="shared" si="342"/>
        <v>182.2650860667738</v>
      </c>
      <c r="J502" s="1">
        <f t="shared" si="342"/>
        <v>170.3845146009051</v>
      </c>
      <c r="K502" s="1">
        <f t="shared" si="342"/>
        <v>159.2783535358516</v>
      </c>
      <c r="L502" s="1">
        <f t="shared" si="342"/>
        <v>148.8961245364077</v>
      </c>
      <c r="M502" s="29">
        <f t="shared" si="342"/>
        <v>139.19063959291384</v>
      </c>
      <c r="N502" s="1">
        <f t="shared" si="342"/>
        <v>130.11778654821308</v>
      </c>
      <c r="O502" s="1">
        <f t="shared" si="342"/>
        <v>121.63632860458709</v>
      </c>
      <c r="P502" s="1">
        <f t="shared" si="342"/>
        <v>113.70771689941793</v>
      </c>
      <c r="Q502" s="1">
        <f t="shared" si="342"/>
        <v>1630.7325119791903</v>
      </c>
    </row>
    <row r="503" spans="1:17" ht="12" customHeight="1">
      <c r="A503" s="16"/>
      <c r="C503" s="42" t="s">
        <v>75</v>
      </c>
      <c r="D503" s="18">
        <f>SUM(E502:$Q502)/D479</f>
        <v>3499.273760134957</v>
      </c>
      <c r="E503" s="18">
        <f>SUM(F502:$Q502)/E479</f>
        <v>3720.9227233048814</v>
      </c>
      <c r="F503" s="18">
        <f>SUM(G502:$Q502)/F479</f>
        <v>3798.514309764314</v>
      </c>
      <c r="G503" s="91">
        <f>SUM(H502:$Q502)/G479</f>
        <v>3878.125000000004</v>
      </c>
      <c r="H503" s="18">
        <f>SUM(I502:$Q502)/H479</f>
        <v>3955.687500000004</v>
      </c>
      <c r="I503" s="18">
        <f>SUM(J502:$Q502)/I479</f>
        <v>4034.801250000004</v>
      </c>
      <c r="J503" s="18">
        <f>SUM(K502:$Q502)/J479</f>
        <v>4115.497275000004</v>
      </c>
      <c r="K503" s="18">
        <f>SUM(L502:$Q502)/K479</f>
        <v>4197.807220500004</v>
      </c>
      <c r="L503" s="18">
        <f>SUM(M502:$Q502)/L479</f>
        <v>4281.763364910004</v>
      </c>
      <c r="M503" s="91">
        <f>SUM(N502:$Q502)/M479</f>
        <v>4367.398632208205</v>
      </c>
      <c r="N503" s="18">
        <f>SUM(O502:$Q502)/N479</f>
        <v>4454.746604852367</v>
      </c>
      <c r="O503" s="18">
        <f>SUM(P502:$Q502)/O479</f>
        <v>4543.841536949415</v>
      </c>
      <c r="P503" s="18">
        <f>SUM(Q502:$Q502)/P479</f>
        <v>4634.718367688403</v>
      </c>
      <c r="Q503" s="18"/>
    </row>
    <row r="504" spans="1:41" s="65" customFormat="1" ht="12.75" customHeight="1" thickBot="1">
      <c r="A504" s="64"/>
      <c r="B504" s="65" t="s">
        <v>76</v>
      </c>
      <c r="C504" s="77"/>
      <c r="D504" s="112">
        <f aca="true" t="shared" si="343" ref="D504:P504">D503+D$14-(D$62-D$58)</f>
        <v>3999.2737601349586</v>
      </c>
      <c r="E504" s="112">
        <f t="shared" si="343"/>
        <v>4250.922723304883</v>
      </c>
      <c r="F504" s="112">
        <f t="shared" si="343"/>
        <v>4663.514309764316</v>
      </c>
      <c r="G504" s="112">
        <f t="shared" si="343"/>
        <v>4808.1250000000055</v>
      </c>
      <c r="H504" s="112">
        <f t="shared" si="343"/>
        <v>4904.287500000006</v>
      </c>
      <c r="I504" s="112">
        <f t="shared" si="343"/>
        <v>5002.373250000006</v>
      </c>
      <c r="J504" s="112">
        <f t="shared" si="343"/>
        <v>5102.420715000007</v>
      </c>
      <c r="K504" s="112">
        <f t="shared" si="343"/>
        <v>5204.469129300006</v>
      </c>
      <c r="L504" s="112">
        <f t="shared" si="343"/>
        <v>5308.558511886007</v>
      </c>
      <c r="M504" s="112">
        <f t="shared" si="343"/>
        <v>5414.729682123727</v>
      </c>
      <c r="N504" s="112">
        <f t="shared" si="343"/>
        <v>5523.0242757662</v>
      </c>
      <c r="O504" s="112">
        <f t="shared" si="343"/>
        <v>5633.484761281524</v>
      </c>
      <c r="P504" s="112">
        <f t="shared" si="343"/>
        <v>5746.1544565071545</v>
      </c>
      <c r="Q504" s="90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K504" s="69"/>
      <c r="AL504" s="69"/>
      <c r="AM504" s="69"/>
      <c r="AN504" s="69"/>
      <c r="AO504" s="69"/>
    </row>
    <row r="505" spans="1:17" s="69" customFormat="1" ht="12.75" customHeight="1">
      <c r="A505"/>
      <c r="C505" s="56"/>
      <c r="D505" s="57"/>
      <c r="E505" s="57"/>
      <c r="F505" s="57"/>
      <c r="G505" s="97"/>
      <c r="H505" s="57"/>
      <c r="I505" s="57"/>
      <c r="J505" s="57"/>
      <c r="K505" s="57"/>
      <c r="L505" s="57"/>
      <c r="M505" s="97"/>
      <c r="N505" s="57"/>
      <c r="O505" s="57"/>
      <c r="P505" s="57"/>
      <c r="Q505" s="71"/>
    </row>
    <row r="506" spans="1:17" ht="12" customHeight="1">
      <c r="A506" s="45"/>
      <c r="B506" s="42"/>
      <c r="C506" s="39" t="s">
        <v>77</v>
      </c>
      <c r="D506" s="42"/>
      <c r="E506" s="59">
        <f aca="true" t="shared" si="344" ref="E506:Q506">E$40-D467*(D471-D$51)</f>
        <v>148.2784128435706</v>
      </c>
      <c r="F506" s="59">
        <f t="shared" si="344"/>
        <v>12.500685871056277</v>
      </c>
      <c r="G506" s="59">
        <f t="shared" si="344"/>
        <v>321.7407407407408</v>
      </c>
      <c r="H506" s="59">
        <f t="shared" si="344"/>
        <v>384.6500000000002</v>
      </c>
      <c r="I506" s="59">
        <f t="shared" si="344"/>
        <v>392.34300000000013</v>
      </c>
      <c r="J506" s="59">
        <f t="shared" si="344"/>
        <v>400.18986000000024</v>
      </c>
      <c r="K506" s="59">
        <f t="shared" si="344"/>
        <v>408.1936572000001</v>
      </c>
      <c r="L506" s="59">
        <f t="shared" si="344"/>
        <v>416.35753034399954</v>
      </c>
      <c r="M506" s="59">
        <f t="shared" si="344"/>
        <v>424.6846809508804</v>
      </c>
      <c r="N506" s="59">
        <f t="shared" si="344"/>
        <v>433.17837456989787</v>
      </c>
      <c r="O506" s="59">
        <f t="shared" si="344"/>
        <v>441.8419420612964</v>
      </c>
      <c r="P506" s="59">
        <f t="shared" si="344"/>
        <v>450.67878090252094</v>
      </c>
      <c r="Q506" s="59">
        <f t="shared" si="344"/>
        <v>459.6923565205714</v>
      </c>
    </row>
    <row r="507" spans="1:41" s="7" customFormat="1" ht="12" customHeight="1">
      <c r="A507" s="45"/>
      <c r="B507" s="39"/>
      <c r="C507" s="39" t="s">
        <v>78</v>
      </c>
      <c r="D507" s="39"/>
      <c r="E507" s="59">
        <f aca="true" t="shared" si="345" ref="E507:Q507">E$41-D482*(D478-D$51)</f>
        <v>298.27841284357066</v>
      </c>
      <c r="F507" s="59">
        <f t="shared" si="345"/>
        <v>162.50068587105628</v>
      </c>
      <c r="G507" s="59">
        <f t="shared" si="345"/>
        <v>471.7407407407408</v>
      </c>
      <c r="H507" s="59">
        <f t="shared" si="345"/>
        <v>504.65000000000015</v>
      </c>
      <c r="I507" s="59">
        <f t="shared" si="345"/>
        <v>514.7429999999999</v>
      </c>
      <c r="J507" s="59">
        <f t="shared" si="345"/>
        <v>525.0378600000004</v>
      </c>
      <c r="K507" s="59">
        <f t="shared" si="345"/>
        <v>535.5386172</v>
      </c>
      <c r="L507" s="59">
        <f t="shared" si="345"/>
        <v>546.2493895439994</v>
      </c>
      <c r="M507" s="59">
        <f t="shared" si="345"/>
        <v>557.1743773348803</v>
      </c>
      <c r="N507" s="59">
        <f t="shared" si="345"/>
        <v>568.3178648815779</v>
      </c>
      <c r="O507" s="59">
        <f t="shared" si="345"/>
        <v>579.6842221792099</v>
      </c>
      <c r="P507" s="59">
        <f t="shared" si="345"/>
        <v>591.2779066227927</v>
      </c>
      <c r="Q507" s="59">
        <f t="shared" si="345"/>
        <v>603.1034647552488</v>
      </c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  <c r="AO507" s="56"/>
    </row>
    <row r="508" spans="1:41" s="7" customFormat="1" ht="12" customHeight="1">
      <c r="A508" s="55"/>
      <c r="B508" s="56"/>
      <c r="C508" s="56"/>
      <c r="D508" s="92"/>
      <c r="E508" s="61"/>
      <c r="F508" s="61"/>
      <c r="G508" s="62"/>
      <c r="H508" s="61"/>
      <c r="I508" s="61"/>
      <c r="J508" s="61"/>
      <c r="K508" s="61"/>
      <c r="L508" s="61"/>
      <c r="M508" s="62"/>
      <c r="N508" s="61"/>
      <c r="O508" s="61"/>
      <c r="P508" s="61"/>
      <c r="Q508" s="61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  <c r="AO508" s="56"/>
    </row>
    <row r="509" spans="1:41" s="7" customFormat="1" ht="12" customHeight="1">
      <c r="A509" s="16"/>
      <c r="C509" s="7" t="s">
        <v>36</v>
      </c>
      <c r="D509" s="51">
        <f aca="true" t="shared" si="346" ref="D509:Q509">D$51</f>
        <v>0.1</v>
      </c>
      <c r="E509" s="51">
        <f t="shared" si="346"/>
        <v>0.1</v>
      </c>
      <c r="F509" s="51">
        <f t="shared" si="346"/>
        <v>0.1</v>
      </c>
      <c r="G509" s="51">
        <f t="shared" si="346"/>
        <v>0.1</v>
      </c>
      <c r="H509" s="51">
        <f t="shared" si="346"/>
        <v>0.1</v>
      </c>
      <c r="I509" s="51">
        <f t="shared" si="346"/>
        <v>0.1</v>
      </c>
      <c r="J509" s="51">
        <f t="shared" si="346"/>
        <v>0.1</v>
      </c>
      <c r="K509" s="51">
        <f t="shared" si="346"/>
        <v>0.1</v>
      </c>
      <c r="L509" s="51">
        <f t="shared" si="346"/>
        <v>0.1</v>
      </c>
      <c r="M509" s="51">
        <f t="shared" si="346"/>
        <v>0.1</v>
      </c>
      <c r="N509" s="51">
        <f t="shared" si="346"/>
        <v>0.1</v>
      </c>
      <c r="O509" s="51">
        <f t="shared" si="346"/>
        <v>0.1</v>
      </c>
      <c r="P509" s="51">
        <f t="shared" si="346"/>
        <v>0.1</v>
      </c>
      <c r="Q509" s="51">
        <f t="shared" si="346"/>
        <v>0.1</v>
      </c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  <c r="AO509" s="56"/>
    </row>
    <row r="510" spans="1:17" ht="12" customHeight="1" hidden="1">
      <c r="A510" s="16"/>
      <c r="C510" s="21" t="s">
        <v>53</v>
      </c>
      <c r="D510" s="12">
        <v>1</v>
      </c>
      <c r="E510" s="12">
        <f>1/(1+D509)</f>
        <v>0.9090909090909091</v>
      </c>
      <c r="F510" s="46">
        <f aca="true" t="shared" si="347" ref="F510:Q510">E510/(1+E509)</f>
        <v>0.8264462809917354</v>
      </c>
      <c r="G510" s="96">
        <f t="shared" si="347"/>
        <v>0.7513148009015777</v>
      </c>
      <c r="H510" s="46">
        <f t="shared" si="347"/>
        <v>0.6830134553650705</v>
      </c>
      <c r="I510" s="46">
        <f t="shared" si="347"/>
        <v>0.6209213230591549</v>
      </c>
      <c r="J510" s="46">
        <f t="shared" si="347"/>
        <v>0.5644739300537771</v>
      </c>
      <c r="K510" s="46">
        <f t="shared" si="347"/>
        <v>0.5131581182307065</v>
      </c>
      <c r="L510" s="46">
        <f t="shared" si="347"/>
        <v>0.4665073802097331</v>
      </c>
      <c r="M510" s="96">
        <f t="shared" si="347"/>
        <v>0.4240976183724846</v>
      </c>
      <c r="N510" s="46">
        <f t="shared" si="347"/>
        <v>0.3855432894295314</v>
      </c>
      <c r="O510" s="46">
        <f t="shared" si="347"/>
        <v>0.35049389948139215</v>
      </c>
      <c r="P510" s="46">
        <f t="shared" si="347"/>
        <v>0.31863081771035645</v>
      </c>
      <c r="Q510" s="46">
        <f t="shared" si="347"/>
        <v>0.2896643797366877</v>
      </c>
    </row>
    <row r="511" spans="1:17" ht="12" customHeight="1" hidden="1">
      <c r="A511" s="16"/>
      <c r="B511" s="42"/>
      <c r="C511" s="42" t="s">
        <v>122</v>
      </c>
      <c r="D511" s="42"/>
      <c r="E511" s="23">
        <f aca="true" t="shared" si="348" ref="E511:P511">E506</f>
        <v>148.2784128435706</v>
      </c>
      <c r="F511" s="23">
        <f t="shared" si="348"/>
        <v>12.500685871056277</v>
      </c>
      <c r="G511" s="101">
        <f t="shared" si="348"/>
        <v>321.7407407407408</v>
      </c>
      <c r="H511" s="23">
        <f t="shared" si="348"/>
        <v>384.6500000000002</v>
      </c>
      <c r="I511" s="23">
        <f t="shared" si="348"/>
        <v>392.34300000000013</v>
      </c>
      <c r="J511" s="23">
        <f t="shared" si="348"/>
        <v>400.18986000000024</v>
      </c>
      <c r="K511" s="23">
        <f t="shared" si="348"/>
        <v>408.1936572000001</v>
      </c>
      <c r="L511" s="23">
        <f t="shared" si="348"/>
        <v>416.35753034399954</v>
      </c>
      <c r="M511" s="23">
        <f t="shared" si="348"/>
        <v>424.6846809508804</v>
      </c>
      <c r="N511" s="23">
        <f t="shared" si="348"/>
        <v>433.17837456989787</v>
      </c>
      <c r="O511" s="23">
        <f t="shared" si="348"/>
        <v>441.8419420612964</v>
      </c>
      <c r="P511" s="23">
        <f t="shared" si="348"/>
        <v>450.67878090252094</v>
      </c>
      <c r="Q511" s="1">
        <f>P511*(1+O$5)+P511*(1+O$5)*(1+O$5)/(P509-O$5)</f>
        <v>6320.769902157856</v>
      </c>
    </row>
    <row r="512" spans="1:17" ht="12" customHeight="1" hidden="1">
      <c r="A512" s="16"/>
      <c r="C512" s="21" t="s">
        <v>54</v>
      </c>
      <c r="D512" s="1"/>
      <c r="E512" s="1">
        <f aca="true" t="shared" si="349" ref="E512:Q512">E511*E510</f>
        <v>134.79855713051873</v>
      </c>
      <c r="F512" s="1">
        <f t="shared" si="349"/>
        <v>10.331145347980392</v>
      </c>
      <c r="G512" s="29">
        <f t="shared" si="349"/>
        <v>241.7285805715558</v>
      </c>
      <c r="H512" s="1">
        <f t="shared" si="349"/>
        <v>262.7211256061745</v>
      </c>
      <c r="I512" s="1">
        <f t="shared" si="349"/>
        <v>243.6141346529981</v>
      </c>
      <c r="J512" s="1">
        <f t="shared" si="349"/>
        <v>225.896743041871</v>
      </c>
      <c r="K512" s="1">
        <f t="shared" si="349"/>
        <v>209.4678890024621</v>
      </c>
      <c r="L512" s="1">
        <f t="shared" si="349"/>
        <v>194.23386071137367</v>
      </c>
      <c r="M512" s="29">
        <f t="shared" si="349"/>
        <v>180.10776175054687</v>
      </c>
      <c r="N512" s="1">
        <f t="shared" si="349"/>
        <v>167.0090154414161</v>
      </c>
      <c r="O512" s="1">
        <f t="shared" si="349"/>
        <v>154.8629052274951</v>
      </c>
      <c r="P512" s="1">
        <f t="shared" si="349"/>
        <v>143.60014848367683</v>
      </c>
      <c r="Q512" s="1">
        <f t="shared" si="349"/>
        <v>1830.9018931668795</v>
      </c>
    </row>
    <row r="513" spans="1:17" ht="12" customHeight="1">
      <c r="A513" s="16"/>
      <c r="C513" s="47" t="s">
        <v>79</v>
      </c>
      <c r="D513" s="38">
        <f>SUM(E512:$Q512)/D510</f>
        <v>3999.273760134948</v>
      </c>
      <c r="E513" s="38">
        <f>SUM(F512:$Q512)/E510</f>
        <v>4250.922723304873</v>
      </c>
      <c r="F513" s="38">
        <f>SUM(G512:$Q512)/F510</f>
        <v>4663.514309764304</v>
      </c>
      <c r="G513" s="27">
        <f>SUM(H512:$Q512)/G510</f>
        <v>4808.1249999999945</v>
      </c>
      <c r="H513" s="38">
        <f>SUM(I512:$Q512)/H510</f>
        <v>4904.287499999994</v>
      </c>
      <c r="I513" s="38">
        <f>SUM(J512:$Q512)/I510</f>
        <v>5002.373249999994</v>
      </c>
      <c r="J513" s="38">
        <f>SUM(K512:$Q512)/J510</f>
        <v>5102.420714999994</v>
      </c>
      <c r="K513" s="38">
        <f>SUM(L512:$Q512)/K510</f>
        <v>5204.469129299994</v>
      </c>
      <c r="L513" s="38">
        <f>SUM(M512:$Q512)/L510</f>
        <v>5308.558511885994</v>
      </c>
      <c r="M513" s="27">
        <f>SUM(N512:$Q512)/M510</f>
        <v>5414.729682123713</v>
      </c>
      <c r="N513" s="38">
        <f>SUM(O512:$Q512)/N510</f>
        <v>5523.024275766187</v>
      </c>
      <c r="O513" s="38">
        <f>SUM(P512:$Q512)/O510</f>
        <v>5633.484761281511</v>
      </c>
      <c r="P513" s="38">
        <f>SUM(Q512:$Q512)/P510</f>
        <v>5746.154456507142</v>
      </c>
      <c r="Q513" s="38"/>
    </row>
    <row r="514" spans="1:16" ht="12.75" customHeight="1">
      <c r="A514" s="16"/>
      <c r="D514" s="41"/>
      <c r="E514" s="41"/>
      <c r="F514" s="41"/>
      <c r="G514" s="146"/>
      <c r="H514" s="41"/>
      <c r="I514" s="41"/>
      <c r="J514" s="41"/>
      <c r="K514" s="41"/>
      <c r="L514" s="41"/>
      <c r="M514" s="31"/>
      <c r="N514" s="41"/>
      <c r="O514" s="41"/>
      <c r="P514" s="41"/>
    </row>
    <row r="515" spans="1:41" s="7" customFormat="1" ht="19.5" customHeight="1" hidden="1">
      <c r="A515" s="16"/>
      <c r="C515" s="7" t="s">
        <v>36</v>
      </c>
      <c r="D515" s="51">
        <f aca="true" t="shared" si="350" ref="D515:Q515">D$51</f>
        <v>0.1</v>
      </c>
      <c r="E515" s="51">
        <f t="shared" si="350"/>
        <v>0.1</v>
      </c>
      <c r="F515" s="51">
        <f t="shared" si="350"/>
        <v>0.1</v>
      </c>
      <c r="G515" s="51">
        <f t="shared" si="350"/>
        <v>0.1</v>
      </c>
      <c r="H515" s="51">
        <f t="shared" si="350"/>
        <v>0.1</v>
      </c>
      <c r="I515" s="51">
        <f t="shared" si="350"/>
        <v>0.1</v>
      </c>
      <c r="J515" s="51">
        <f t="shared" si="350"/>
        <v>0.1</v>
      </c>
      <c r="K515" s="51">
        <f t="shared" si="350"/>
        <v>0.1</v>
      </c>
      <c r="L515" s="51">
        <f t="shared" si="350"/>
        <v>0.1</v>
      </c>
      <c r="M515" s="51">
        <f t="shared" si="350"/>
        <v>0.1</v>
      </c>
      <c r="N515" s="51">
        <f t="shared" si="350"/>
        <v>0.1</v>
      </c>
      <c r="O515" s="51">
        <f t="shared" si="350"/>
        <v>0.1</v>
      </c>
      <c r="P515" s="51">
        <f t="shared" si="350"/>
        <v>0.1</v>
      </c>
      <c r="Q515" s="51">
        <f t="shared" si="350"/>
        <v>0.1</v>
      </c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  <c r="AO515" s="56"/>
    </row>
    <row r="516" spans="1:17" ht="19.5" customHeight="1" hidden="1">
      <c r="A516" s="16"/>
      <c r="C516" s="21" t="s">
        <v>58</v>
      </c>
      <c r="D516" s="12">
        <v>1</v>
      </c>
      <c r="E516" s="12">
        <f>1/(1+D515)</f>
        <v>0.9090909090909091</v>
      </c>
      <c r="F516" s="12">
        <f aca="true" t="shared" si="351" ref="F516:Q516">E516/(1+E515)</f>
        <v>0.8264462809917354</v>
      </c>
      <c r="G516" s="98">
        <f t="shared" si="351"/>
        <v>0.7513148009015777</v>
      </c>
      <c r="H516" s="12">
        <f t="shared" si="351"/>
        <v>0.6830134553650705</v>
      </c>
      <c r="I516" s="12">
        <f t="shared" si="351"/>
        <v>0.6209213230591549</v>
      </c>
      <c r="J516" s="12">
        <f t="shared" si="351"/>
        <v>0.5644739300537771</v>
      </c>
      <c r="K516" s="12">
        <f t="shared" si="351"/>
        <v>0.5131581182307065</v>
      </c>
      <c r="L516" s="12">
        <f t="shared" si="351"/>
        <v>0.4665073802097331</v>
      </c>
      <c r="M516" s="98">
        <f t="shared" si="351"/>
        <v>0.4240976183724846</v>
      </c>
      <c r="N516" s="12">
        <f t="shared" si="351"/>
        <v>0.3855432894295314</v>
      </c>
      <c r="O516" s="12">
        <f t="shared" si="351"/>
        <v>0.35049389948139215</v>
      </c>
      <c r="P516" s="12">
        <f t="shared" si="351"/>
        <v>0.31863081771035645</v>
      </c>
      <c r="Q516" s="12">
        <f t="shared" si="351"/>
        <v>0.2896643797366877</v>
      </c>
    </row>
    <row r="517" spans="1:17" ht="19.5" customHeight="1" hidden="1">
      <c r="A517" s="45"/>
      <c r="B517" s="42"/>
      <c r="C517" s="42" t="s">
        <v>31</v>
      </c>
      <c r="D517" s="42"/>
      <c r="E517" s="42">
        <f aca="true" t="shared" si="352" ref="E517:P517">E507</f>
        <v>298.27841284357066</v>
      </c>
      <c r="F517" s="42">
        <f t="shared" si="352"/>
        <v>162.50068587105628</v>
      </c>
      <c r="G517" s="99">
        <f t="shared" si="352"/>
        <v>471.7407407407408</v>
      </c>
      <c r="H517" s="42">
        <f t="shared" si="352"/>
        <v>504.65000000000015</v>
      </c>
      <c r="I517" s="42">
        <f t="shared" si="352"/>
        <v>514.7429999999999</v>
      </c>
      <c r="J517" s="42">
        <f t="shared" si="352"/>
        <v>525.0378600000004</v>
      </c>
      <c r="K517" s="42">
        <f t="shared" si="352"/>
        <v>535.5386172</v>
      </c>
      <c r="L517" s="42">
        <f t="shared" si="352"/>
        <v>546.2493895439994</v>
      </c>
      <c r="M517" s="99">
        <f t="shared" si="352"/>
        <v>557.1743773348803</v>
      </c>
      <c r="N517" s="42">
        <f t="shared" si="352"/>
        <v>568.3178648815779</v>
      </c>
      <c r="O517" s="42">
        <f t="shared" si="352"/>
        <v>579.6842221792099</v>
      </c>
      <c r="P517" s="42">
        <f t="shared" si="352"/>
        <v>591.2779066227927</v>
      </c>
      <c r="Q517" s="1">
        <f>P517*(1+O$5)+P517*(1+O$5)*(1+O$5)/(P515-O$5)</f>
        <v>8292.672640384666</v>
      </c>
    </row>
    <row r="518" spans="1:17" ht="19.5" customHeight="1" hidden="1">
      <c r="A518" s="16"/>
      <c r="C518" s="21" t="s">
        <v>38</v>
      </c>
      <c r="D518" s="1"/>
      <c r="E518" s="1">
        <f aca="true" t="shared" si="353" ref="E518:Q518">E517*E516</f>
        <v>271.16219349415513</v>
      </c>
      <c r="F518" s="1">
        <f t="shared" si="353"/>
        <v>134.29808749674072</v>
      </c>
      <c r="G518" s="29">
        <f t="shared" si="353"/>
        <v>354.4258007067925</v>
      </c>
      <c r="H518" s="1">
        <f t="shared" si="353"/>
        <v>344.68274024998294</v>
      </c>
      <c r="I518" s="1">
        <f t="shared" si="353"/>
        <v>319.61490459543853</v>
      </c>
      <c r="J518" s="1">
        <f t="shared" si="353"/>
        <v>296.370184261225</v>
      </c>
      <c r="K518" s="1">
        <f t="shared" si="353"/>
        <v>274.81598904222665</v>
      </c>
      <c r="L518" s="1">
        <f t="shared" si="353"/>
        <v>254.82937165733713</v>
      </c>
      <c r="M518" s="29">
        <f t="shared" si="353"/>
        <v>236.2963264458948</v>
      </c>
      <c r="N518" s="1">
        <f t="shared" si="353"/>
        <v>219.1111390680115</v>
      </c>
      <c r="O518" s="1">
        <f t="shared" si="353"/>
        <v>203.17578349942897</v>
      </c>
      <c r="P518" s="1">
        <f t="shared" si="353"/>
        <v>188.39936288128823</v>
      </c>
      <c r="Q518" s="1">
        <f t="shared" si="353"/>
        <v>2402.091876736424</v>
      </c>
    </row>
    <row r="519" spans="1:17" ht="19.5" customHeight="1">
      <c r="A519" s="16"/>
      <c r="B519" s="4" t="s">
        <v>80</v>
      </c>
      <c r="C519" s="42" t="s">
        <v>81</v>
      </c>
      <c r="D519" s="18">
        <f>SUM(E518:$Q518)/D516</f>
        <v>5499.273760134947</v>
      </c>
      <c r="E519" s="18">
        <f>SUM(F518:$Q518)/E516</f>
        <v>5750.9227233048705</v>
      </c>
      <c r="F519" s="18">
        <f>SUM(G518:$Q518)/F516</f>
        <v>6163.514309764302</v>
      </c>
      <c r="G519" s="91">
        <f>SUM(H518:$Q518)/G516</f>
        <v>6308.124999999991</v>
      </c>
      <c r="H519" s="18">
        <f>SUM(I518:$Q518)/H516</f>
        <v>6434.28749999999</v>
      </c>
      <c r="I519" s="18">
        <f>SUM(J518:$Q518)/I516</f>
        <v>6562.973249999991</v>
      </c>
      <c r="J519" s="18">
        <f>SUM(K518:$Q518)/J516</f>
        <v>6694.232714999991</v>
      </c>
      <c r="K519" s="18">
        <f>SUM(L518:$Q518)/K516</f>
        <v>6828.11736929999</v>
      </c>
      <c r="L519" s="18">
        <f>SUM(M518:$Q518)/L516</f>
        <v>6964.679716685991</v>
      </c>
      <c r="M519" s="91">
        <f>SUM(N518:$Q518)/M516</f>
        <v>7103.973311019709</v>
      </c>
      <c r="N519" s="18">
        <f>SUM(O518:$Q518)/N516</f>
        <v>7246.052777240105</v>
      </c>
      <c r="O519" s="18">
        <f>SUM(P518:$Q518)/O516</f>
        <v>7390.973832784905</v>
      </c>
      <c r="P519" s="18">
        <f>SUM(Q518:$Q518)/P516</f>
        <v>7538.793309440604</v>
      </c>
      <c r="Q519" s="18"/>
    </row>
    <row r="520" spans="1:17" ht="12.75" customHeight="1">
      <c r="A520" s="16"/>
      <c r="B520" s="4" t="s">
        <v>48</v>
      </c>
      <c r="C520" s="39" t="s">
        <v>82</v>
      </c>
      <c r="D520" s="38">
        <f aca="true" t="shared" si="354" ref="D520:P520">D519-D$62</f>
        <v>3999.273760134949</v>
      </c>
      <c r="E520" s="38">
        <f t="shared" si="354"/>
        <v>4250.922723304872</v>
      </c>
      <c r="F520" s="38">
        <f t="shared" si="354"/>
        <v>4663.514309764304</v>
      </c>
      <c r="G520" s="38">
        <f t="shared" si="354"/>
        <v>4808.124999999993</v>
      </c>
      <c r="H520" s="38">
        <f t="shared" si="354"/>
        <v>4904.287499999992</v>
      </c>
      <c r="I520" s="38">
        <f t="shared" si="354"/>
        <v>5002.373249999992</v>
      </c>
      <c r="J520" s="38">
        <f t="shared" si="354"/>
        <v>5102.420714999993</v>
      </c>
      <c r="K520" s="38">
        <f t="shared" si="354"/>
        <v>5204.469129299992</v>
      </c>
      <c r="L520" s="38">
        <f t="shared" si="354"/>
        <v>5308.558511885993</v>
      </c>
      <c r="M520" s="38">
        <f t="shared" si="354"/>
        <v>5414.7296821237105</v>
      </c>
      <c r="N520" s="38">
        <f t="shared" si="354"/>
        <v>5523.024275766186</v>
      </c>
      <c r="O520" s="38">
        <f t="shared" si="354"/>
        <v>5633.484761281508</v>
      </c>
      <c r="P520" s="38">
        <f t="shared" si="354"/>
        <v>5746.15445650714</v>
      </c>
      <c r="Q520" s="20"/>
    </row>
    <row r="521" spans="1:17" ht="12.75" customHeight="1">
      <c r="A521" s="16"/>
      <c r="C521" s="56"/>
      <c r="D521" s="57"/>
      <c r="E521" s="57"/>
      <c r="F521" s="116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88"/>
    </row>
    <row r="522" spans="1:41" s="7" customFormat="1" ht="12" customHeight="1">
      <c r="A522" s="45"/>
      <c r="B522" s="39"/>
      <c r="C522" s="39" t="s">
        <v>87</v>
      </c>
      <c r="D522" s="39"/>
      <c r="E522" s="59">
        <f aca="true" t="shared" si="355" ref="E522:Q522">E$41-D519*(D478-D$49)</f>
        <v>78.30746243817265</v>
      </c>
      <c r="F522" s="59">
        <f t="shared" si="355"/>
        <v>-67.53622306113866</v>
      </c>
      <c r="G522" s="59">
        <f t="shared" si="355"/>
        <v>225.20016835016858</v>
      </c>
      <c r="H522" s="59">
        <f t="shared" si="355"/>
        <v>252.3250000000004</v>
      </c>
      <c r="I522" s="59">
        <f t="shared" si="355"/>
        <v>257.3715000000002</v>
      </c>
      <c r="J522" s="59">
        <f t="shared" si="355"/>
        <v>262.51893000000064</v>
      </c>
      <c r="K522" s="59">
        <f t="shared" si="355"/>
        <v>267.76930860000016</v>
      </c>
      <c r="L522" s="59">
        <f t="shared" si="355"/>
        <v>273.12469477199966</v>
      </c>
      <c r="M522" s="59">
        <f t="shared" si="355"/>
        <v>278.5871886674406</v>
      </c>
      <c r="N522" s="59">
        <f t="shared" si="355"/>
        <v>284.1589324407894</v>
      </c>
      <c r="O522" s="59">
        <f t="shared" si="355"/>
        <v>289.8421110896055</v>
      </c>
      <c r="P522" s="59">
        <f t="shared" si="355"/>
        <v>295.6389533113964</v>
      </c>
      <c r="Q522" s="59">
        <f t="shared" si="355"/>
        <v>301.5517323776245</v>
      </c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  <c r="AO522" s="56"/>
    </row>
    <row r="523" spans="1:17" ht="12" customHeight="1">
      <c r="A523" s="45"/>
      <c r="B523" s="42"/>
      <c r="C523" s="39" t="s">
        <v>86</v>
      </c>
      <c r="D523" s="42"/>
      <c r="E523" s="59">
        <f aca="true" t="shared" si="356" ref="E523:Q523">E$40-D520*(D471-D$49)</f>
        <v>-11.692537561827379</v>
      </c>
      <c r="F523" s="59">
        <f t="shared" si="356"/>
        <v>-157.53622306113866</v>
      </c>
      <c r="G523" s="59">
        <f t="shared" si="356"/>
        <v>135.2001683501686</v>
      </c>
      <c r="H523" s="59">
        <f t="shared" si="356"/>
        <v>192.32500000000044</v>
      </c>
      <c r="I523" s="59">
        <f t="shared" si="356"/>
        <v>196.1715000000004</v>
      </c>
      <c r="J523" s="59">
        <f t="shared" si="356"/>
        <v>200.09493000000055</v>
      </c>
      <c r="K523" s="59">
        <f t="shared" si="356"/>
        <v>204.09682860000032</v>
      </c>
      <c r="L523" s="59">
        <f t="shared" si="356"/>
        <v>208.17876517199983</v>
      </c>
      <c r="M523" s="59">
        <f t="shared" si="356"/>
        <v>212.34234047544066</v>
      </c>
      <c r="N523" s="59">
        <f t="shared" si="356"/>
        <v>216.5891872849494</v>
      </c>
      <c r="O523" s="59">
        <f t="shared" si="356"/>
        <v>220.92097103064887</v>
      </c>
      <c r="P523" s="59">
        <f t="shared" si="356"/>
        <v>225.33939045126058</v>
      </c>
      <c r="Q523" s="59">
        <f t="shared" si="356"/>
        <v>229.8461782602858</v>
      </c>
    </row>
    <row r="524" spans="1:16" ht="14.25" customHeight="1">
      <c r="A524" s="16"/>
      <c r="B524" s="104"/>
      <c r="C524" s="92"/>
      <c r="D524" s="105"/>
      <c r="E524" s="105"/>
      <c r="F524" s="105"/>
      <c r="G524" s="50"/>
      <c r="H524" s="105"/>
      <c r="I524" s="105"/>
      <c r="J524" s="43"/>
      <c r="K524" s="43"/>
      <c r="L524" s="43"/>
      <c r="M524" s="102"/>
      <c r="N524" s="43"/>
      <c r="O524" s="43"/>
      <c r="P524" s="43"/>
    </row>
    <row r="525" spans="1:17" ht="14.25" customHeight="1" hidden="1">
      <c r="A525" s="16"/>
      <c r="B525" s="104"/>
      <c r="C525" s="4" t="s">
        <v>2</v>
      </c>
      <c r="D525" s="105">
        <f aca="true" t="shared" si="357" ref="D525:P525">D$49</f>
        <v>0.06</v>
      </c>
      <c r="E525" s="105">
        <f t="shared" si="357"/>
        <v>0.06</v>
      </c>
      <c r="F525" s="105">
        <f t="shared" si="357"/>
        <v>0.06</v>
      </c>
      <c r="G525" s="105">
        <f t="shared" si="357"/>
        <v>0.06</v>
      </c>
      <c r="H525" s="105">
        <f t="shared" si="357"/>
        <v>0.06</v>
      </c>
      <c r="I525" s="105">
        <f t="shared" si="357"/>
        <v>0.06</v>
      </c>
      <c r="J525" s="105">
        <f t="shared" si="357"/>
        <v>0.06</v>
      </c>
      <c r="K525" s="105">
        <f t="shared" si="357"/>
        <v>0.06</v>
      </c>
      <c r="L525" s="105">
        <f t="shared" si="357"/>
        <v>0.06</v>
      </c>
      <c r="M525" s="105">
        <f t="shared" si="357"/>
        <v>0.06</v>
      </c>
      <c r="N525" s="105">
        <f t="shared" si="357"/>
        <v>0.06</v>
      </c>
      <c r="O525" s="105">
        <f t="shared" si="357"/>
        <v>0.06</v>
      </c>
      <c r="P525" s="105">
        <f t="shared" si="357"/>
        <v>0.06</v>
      </c>
      <c r="Q525" s="49">
        <f>P525</f>
        <v>0.06</v>
      </c>
    </row>
    <row r="526" spans="1:17" ht="14.25" customHeight="1" hidden="1">
      <c r="A526" s="16"/>
      <c r="C526" s="158" t="s">
        <v>91</v>
      </c>
      <c r="D526" s="12">
        <v>1</v>
      </c>
      <c r="E526" s="12">
        <f>1/(1+D525)</f>
        <v>0.9433962264150942</v>
      </c>
      <c r="F526" s="12">
        <f aca="true" t="shared" si="358" ref="F526:Q526">E526/(1+E525)</f>
        <v>0.8899964400142398</v>
      </c>
      <c r="G526" s="98">
        <f t="shared" si="358"/>
        <v>0.8396192830323017</v>
      </c>
      <c r="H526" s="12">
        <f t="shared" si="358"/>
        <v>0.7920936632380204</v>
      </c>
      <c r="I526" s="12">
        <f t="shared" si="358"/>
        <v>0.747258172866057</v>
      </c>
      <c r="J526" s="12">
        <f t="shared" si="358"/>
        <v>0.7049605404396764</v>
      </c>
      <c r="K526" s="12">
        <f t="shared" si="358"/>
        <v>0.6650571136223362</v>
      </c>
      <c r="L526" s="12">
        <f t="shared" si="358"/>
        <v>0.6274123713418266</v>
      </c>
      <c r="M526" s="98">
        <f t="shared" si="358"/>
        <v>0.5918984635300251</v>
      </c>
      <c r="N526" s="12">
        <f t="shared" si="358"/>
        <v>0.558394776915118</v>
      </c>
      <c r="O526" s="12">
        <f t="shared" si="358"/>
        <v>0.5267875253916207</v>
      </c>
      <c r="P526" s="12">
        <f t="shared" si="358"/>
        <v>0.4969693635770006</v>
      </c>
      <c r="Q526" s="12">
        <f t="shared" si="358"/>
        <v>0.4688390222424534</v>
      </c>
    </row>
    <row r="527" spans="1:17" ht="14.25" customHeight="1" hidden="1">
      <c r="A527" s="45"/>
      <c r="B527" s="42"/>
      <c r="C527" s="39" t="s">
        <v>87</v>
      </c>
      <c r="D527" s="42"/>
      <c r="E527" s="23">
        <f>E522</f>
        <v>78.30746243817265</v>
      </c>
      <c r="F527" s="23">
        <f aca="true" t="shared" si="359" ref="F527:P527">F522</f>
        <v>-67.53622306113866</v>
      </c>
      <c r="G527" s="23">
        <f t="shared" si="359"/>
        <v>225.20016835016858</v>
      </c>
      <c r="H527" s="23">
        <f t="shared" si="359"/>
        <v>252.3250000000004</v>
      </c>
      <c r="I527" s="23">
        <f t="shared" si="359"/>
        <v>257.3715000000002</v>
      </c>
      <c r="J527" s="23">
        <f t="shared" si="359"/>
        <v>262.51893000000064</v>
      </c>
      <c r="K527" s="23">
        <f t="shared" si="359"/>
        <v>267.76930860000016</v>
      </c>
      <c r="L527" s="23">
        <f t="shared" si="359"/>
        <v>273.12469477199966</v>
      </c>
      <c r="M527" s="23">
        <f t="shared" si="359"/>
        <v>278.5871886674406</v>
      </c>
      <c r="N527" s="23">
        <f t="shared" si="359"/>
        <v>284.1589324407894</v>
      </c>
      <c r="O527" s="23">
        <f t="shared" si="359"/>
        <v>289.8421110896055</v>
      </c>
      <c r="P527" s="23">
        <f t="shared" si="359"/>
        <v>295.6389533113964</v>
      </c>
      <c r="Q527" s="1">
        <f>P527*(1+O$5)+P527*(1+O$5)*(1+O$5)/(P525-O$5)</f>
        <v>7991.120908007045</v>
      </c>
    </row>
    <row r="528" spans="1:17" ht="14.25" customHeight="1" hidden="1">
      <c r="A528" s="16"/>
      <c r="C528" s="21" t="s">
        <v>38</v>
      </c>
      <c r="D528" s="1"/>
      <c r="E528" s="1">
        <f aca="true" t="shared" si="360" ref="E528:Q528">E527*E526</f>
        <v>73.87496456431381</v>
      </c>
      <c r="F528" s="1">
        <f t="shared" si="360"/>
        <v>-60.10699809642101</v>
      </c>
      <c r="G528" s="29">
        <f t="shared" si="360"/>
        <v>189.0824038889222</v>
      </c>
      <c r="H528" s="1">
        <f t="shared" si="360"/>
        <v>199.86503357653382</v>
      </c>
      <c r="I528" s="1">
        <f t="shared" si="360"/>
        <v>192.32295683779654</v>
      </c>
      <c r="J528" s="1">
        <f t="shared" si="360"/>
        <v>185.06548676844602</v>
      </c>
      <c r="K528" s="1">
        <f t="shared" si="360"/>
        <v>178.0818834941647</v>
      </c>
      <c r="L528" s="1">
        <f t="shared" si="360"/>
        <v>171.3618124189129</v>
      </c>
      <c r="M528" s="29">
        <f t="shared" si="360"/>
        <v>164.8953289314073</v>
      </c>
      <c r="N528" s="1">
        <f t="shared" si="360"/>
        <v>158.67286368871265</v>
      </c>
      <c r="O528" s="1">
        <f t="shared" si="360"/>
        <v>152.6852084551765</v>
      </c>
      <c r="P528" s="1">
        <f t="shared" si="360"/>
        <v>146.92350247573526</v>
      </c>
      <c r="Q528" s="1">
        <f t="shared" si="360"/>
        <v>3746.549313131249</v>
      </c>
    </row>
    <row r="529" spans="1:16" ht="14.25" customHeight="1">
      <c r="A529" s="16"/>
      <c r="B529" s="157" t="s">
        <v>89</v>
      </c>
      <c r="C529" s="156" t="s">
        <v>88</v>
      </c>
      <c r="D529" s="18">
        <f>SUM(E528:$Q528)/D526</f>
        <v>5499.273760134949</v>
      </c>
      <c r="E529" s="18">
        <f>SUM(F528:$Q528)/E526</f>
        <v>5750.922723304875</v>
      </c>
      <c r="F529" s="18">
        <f>SUM(G528:$Q528)/F526</f>
        <v>6163.514309764305</v>
      </c>
      <c r="G529" s="91">
        <f>SUM(H528:$Q528)/G526</f>
        <v>6308.124999999995</v>
      </c>
      <c r="H529" s="18">
        <f>SUM(I528:$Q528)/H526</f>
        <v>6434.287499999996</v>
      </c>
      <c r="I529" s="18">
        <f>SUM(J528:$Q528)/I526</f>
        <v>6562.9732499999955</v>
      </c>
      <c r="J529" s="18">
        <f>SUM(K528:$Q528)/J526</f>
        <v>6694.232714999995</v>
      </c>
      <c r="K529" s="18">
        <f>SUM(L528:$Q528)/K526</f>
        <v>6828.117369299994</v>
      </c>
      <c r="L529" s="18">
        <f>SUM(M528:$Q528)/L526</f>
        <v>6964.679716685995</v>
      </c>
      <c r="M529" s="91">
        <f>SUM(N528:$Q528)/M526</f>
        <v>7103.973311019714</v>
      </c>
      <c r="N529" s="18">
        <f>SUM(O528:$Q528)/N526</f>
        <v>7246.052777240108</v>
      </c>
      <c r="O529" s="18">
        <f>SUM(P528:$Q528)/O526</f>
        <v>7390.97383278491</v>
      </c>
      <c r="P529" s="18">
        <f>SUM(Q528:$Q528)/P526</f>
        <v>7538.793309440608</v>
      </c>
    </row>
    <row r="530" spans="1:16" ht="14.25" customHeight="1">
      <c r="A530" s="16"/>
      <c r="B530" s="4" t="s">
        <v>48</v>
      </c>
      <c r="C530" s="39" t="s">
        <v>90</v>
      </c>
      <c r="D530" s="38">
        <f aca="true" t="shared" si="361" ref="D530:P530">D529-D$62</f>
        <v>3999.273760134951</v>
      </c>
      <c r="E530" s="38">
        <f t="shared" si="361"/>
        <v>4250.922723304877</v>
      </c>
      <c r="F530" s="38">
        <f t="shared" si="361"/>
        <v>4663.514309764307</v>
      </c>
      <c r="G530" s="38">
        <f t="shared" si="361"/>
        <v>4808.124999999997</v>
      </c>
      <c r="H530" s="38">
        <f t="shared" si="361"/>
        <v>4904.287499999998</v>
      </c>
      <c r="I530" s="38">
        <f t="shared" si="361"/>
        <v>5002.373249999997</v>
      </c>
      <c r="J530" s="38">
        <f t="shared" si="361"/>
        <v>5102.420714999997</v>
      </c>
      <c r="K530" s="38">
        <f t="shared" si="361"/>
        <v>5204.469129299996</v>
      </c>
      <c r="L530" s="38">
        <f t="shared" si="361"/>
        <v>5308.558511885997</v>
      </c>
      <c r="M530" s="38">
        <f t="shared" si="361"/>
        <v>5414.729682123716</v>
      </c>
      <c r="N530" s="38">
        <f t="shared" si="361"/>
        <v>5523.02427576619</v>
      </c>
      <c r="O530" s="38">
        <f t="shared" si="361"/>
        <v>5633.484761281513</v>
      </c>
      <c r="P530" s="38">
        <f t="shared" si="361"/>
        <v>5746.154456507144</v>
      </c>
    </row>
    <row r="531" spans="1:16" ht="14.25" customHeight="1">
      <c r="A531" s="16"/>
      <c r="B531" s="104"/>
      <c r="C531" s="92"/>
      <c r="D531" s="105"/>
      <c r="E531" s="105"/>
      <c r="F531" s="105"/>
      <c r="G531" s="50"/>
      <c r="H531" s="105"/>
      <c r="I531" s="105"/>
      <c r="J531" s="43"/>
      <c r="K531" s="43"/>
      <c r="L531" s="43"/>
      <c r="M531" s="102"/>
      <c r="N531" s="43"/>
      <c r="O531" s="43"/>
      <c r="P531" s="43"/>
    </row>
    <row r="532" spans="1:17" ht="14.25" customHeight="1" hidden="1">
      <c r="A532" s="16"/>
      <c r="B532" s="104"/>
      <c r="C532" s="4" t="s">
        <v>2</v>
      </c>
      <c r="D532" s="105">
        <f aca="true" t="shared" si="362" ref="D532:P532">D$49</f>
        <v>0.06</v>
      </c>
      <c r="E532" s="105">
        <f t="shared" si="362"/>
        <v>0.06</v>
      </c>
      <c r="F532" s="105">
        <f t="shared" si="362"/>
        <v>0.06</v>
      </c>
      <c r="G532" s="105">
        <f t="shared" si="362"/>
        <v>0.06</v>
      </c>
      <c r="H532" s="105">
        <f t="shared" si="362"/>
        <v>0.06</v>
      </c>
      <c r="I532" s="105">
        <f t="shared" si="362"/>
        <v>0.06</v>
      </c>
      <c r="J532" s="105">
        <f t="shared" si="362"/>
        <v>0.06</v>
      </c>
      <c r="K532" s="105">
        <f t="shared" si="362"/>
        <v>0.06</v>
      </c>
      <c r="L532" s="105">
        <f t="shared" si="362"/>
        <v>0.06</v>
      </c>
      <c r="M532" s="105">
        <f t="shared" si="362"/>
        <v>0.06</v>
      </c>
      <c r="N532" s="105">
        <f t="shared" si="362"/>
        <v>0.06</v>
      </c>
      <c r="O532" s="105">
        <f t="shared" si="362"/>
        <v>0.06</v>
      </c>
      <c r="P532" s="105">
        <f t="shared" si="362"/>
        <v>0.06</v>
      </c>
      <c r="Q532" s="49">
        <f>P532</f>
        <v>0.06</v>
      </c>
    </row>
    <row r="533" spans="1:17" ht="14.25" customHeight="1" hidden="1">
      <c r="A533" s="16"/>
      <c r="C533" s="158" t="s">
        <v>91</v>
      </c>
      <c r="D533" s="12">
        <v>1</v>
      </c>
      <c r="E533" s="12">
        <f>1/(1+D532)</f>
        <v>0.9433962264150942</v>
      </c>
      <c r="F533" s="12">
        <f aca="true" t="shared" si="363" ref="F533:Q533">E533/(1+E532)</f>
        <v>0.8899964400142398</v>
      </c>
      <c r="G533" s="98">
        <f t="shared" si="363"/>
        <v>0.8396192830323017</v>
      </c>
      <c r="H533" s="12">
        <f t="shared" si="363"/>
        <v>0.7920936632380204</v>
      </c>
      <c r="I533" s="12">
        <f t="shared" si="363"/>
        <v>0.747258172866057</v>
      </c>
      <c r="J533" s="12">
        <f t="shared" si="363"/>
        <v>0.7049605404396764</v>
      </c>
      <c r="K533" s="12">
        <f t="shared" si="363"/>
        <v>0.6650571136223362</v>
      </c>
      <c r="L533" s="12">
        <f t="shared" si="363"/>
        <v>0.6274123713418266</v>
      </c>
      <c r="M533" s="98">
        <f t="shared" si="363"/>
        <v>0.5918984635300251</v>
      </c>
      <c r="N533" s="12">
        <f t="shared" si="363"/>
        <v>0.558394776915118</v>
      </c>
      <c r="O533" s="12">
        <f t="shared" si="363"/>
        <v>0.5267875253916207</v>
      </c>
      <c r="P533" s="12">
        <f t="shared" si="363"/>
        <v>0.4969693635770006</v>
      </c>
      <c r="Q533" s="12">
        <f t="shared" si="363"/>
        <v>0.4688390222424534</v>
      </c>
    </row>
    <row r="534" spans="1:17" ht="14.25" customHeight="1" hidden="1">
      <c r="A534" s="45"/>
      <c r="B534" s="42"/>
      <c r="C534" s="39" t="s">
        <v>86</v>
      </c>
      <c r="D534" s="42"/>
      <c r="E534" s="23">
        <f>E523</f>
        <v>-11.692537561827379</v>
      </c>
      <c r="F534" s="23">
        <f aca="true" t="shared" si="364" ref="F534:P534">F523</f>
        <v>-157.53622306113866</v>
      </c>
      <c r="G534" s="23">
        <f t="shared" si="364"/>
        <v>135.2001683501686</v>
      </c>
      <c r="H534" s="23">
        <f t="shared" si="364"/>
        <v>192.32500000000044</v>
      </c>
      <c r="I534" s="23">
        <f t="shared" si="364"/>
        <v>196.1715000000004</v>
      </c>
      <c r="J534" s="23">
        <f t="shared" si="364"/>
        <v>200.09493000000055</v>
      </c>
      <c r="K534" s="23">
        <f t="shared" si="364"/>
        <v>204.09682860000032</v>
      </c>
      <c r="L534" s="23">
        <f t="shared" si="364"/>
        <v>208.17876517199983</v>
      </c>
      <c r="M534" s="23">
        <f t="shared" si="364"/>
        <v>212.34234047544066</v>
      </c>
      <c r="N534" s="23">
        <f t="shared" si="364"/>
        <v>216.5891872849494</v>
      </c>
      <c r="O534" s="23">
        <f t="shared" si="364"/>
        <v>220.92097103064887</v>
      </c>
      <c r="P534" s="23">
        <f t="shared" si="364"/>
        <v>225.33939045126058</v>
      </c>
      <c r="Q534" s="1">
        <f>P534*(1+O$5)+P534*(1+O$5)*(1+O$5)/(P532-O$5)</f>
        <v>6090.923723897575</v>
      </c>
    </row>
    <row r="535" spans="1:17" ht="14.25" customHeight="1" hidden="1">
      <c r="A535" s="16"/>
      <c r="C535" s="158" t="s">
        <v>54</v>
      </c>
      <c r="D535" s="1"/>
      <c r="E535" s="1">
        <f aca="true" t="shared" si="365" ref="E535:Q535">E534*E533</f>
        <v>-11.030695813044696</v>
      </c>
      <c r="F535" s="1">
        <f t="shared" si="365"/>
        <v>-140.2066776977026</v>
      </c>
      <c r="G535" s="29">
        <f t="shared" si="365"/>
        <v>113.51666841601507</v>
      </c>
      <c r="H535" s="1">
        <f t="shared" si="365"/>
        <v>152.33941378225262</v>
      </c>
      <c r="I535" s="1">
        <f t="shared" si="365"/>
        <v>146.590756658394</v>
      </c>
      <c r="J535" s="1">
        <f t="shared" si="365"/>
        <v>141.0590299920396</v>
      </c>
      <c r="K535" s="1">
        <f t="shared" si="365"/>
        <v>135.7360477281889</v>
      </c>
      <c r="L535" s="1">
        <f t="shared" si="365"/>
        <v>130.61393271957766</v>
      </c>
      <c r="M535" s="29">
        <f t="shared" si="365"/>
        <v>125.68510506978278</v>
      </c>
      <c r="N535" s="1">
        <f t="shared" si="365"/>
        <v>120.94227091620601</v>
      </c>
      <c r="O535" s="1">
        <f t="shared" si="365"/>
        <v>116.37841163634944</v>
      </c>
      <c r="P535" s="1">
        <f t="shared" si="365"/>
        <v>111.98677346139222</v>
      </c>
      <c r="Q535" s="1">
        <f t="shared" si="365"/>
        <v>2855.662723265502</v>
      </c>
    </row>
    <row r="536" spans="1:16" ht="14.25" customHeight="1">
      <c r="A536" s="16"/>
      <c r="B536" s="157"/>
      <c r="C536" s="156" t="s">
        <v>92</v>
      </c>
      <c r="D536" s="52">
        <f>SUM(E535:$Q535)/D533</f>
        <v>3999.2737601349527</v>
      </c>
      <c r="E536" s="52">
        <f>SUM(F535:$Q535)/E533</f>
        <v>4250.922723304878</v>
      </c>
      <c r="F536" s="52">
        <f>SUM(G535:$Q535)/F533</f>
        <v>4663.5143097643095</v>
      </c>
      <c r="G536" s="159">
        <f>SUM(H535:$Q535)/G533</f>
        <v>4808.125</v>
      </c>
      <c r="H536" s="52">
        <f>SUM(I535:$Q535)/H533</f>
        <v>4904.287499999999</v>
      </c>
      <c r="I536" s="52">
        <f>SUM(J535:$Q535)/I533</f>
        <v>5002.373249999999</v>
      </c>
      <c r="J536" s="52">
        <f>SUM(K535:$Q535)/J533</f>
        <v>5102.420714999998</v>
      </c>
      <c r="K536" s="52">
        <f>SUM(L535:$Q535)/K533</f>
        <v>5204.469129299998</v>
      </c>
      <c r="L536" s="52">
        <f>SUM(M535:$Q535)/L533</f>
        <v>5308.558511885998</v>
      </c>
      <c r="M536" s="159">
        <f>SUM(N535:$Q535)/M533</f>
        <v>5414.729682123718</v>
      </c>
      <c r="N536" s="52">
        <f>SUM(O535:$Q535)/N533</f>
        <v>5523.024275766192</v>
      </c>
      <c r="O536" s="52">
        <f>SUM(P535:$Q535)/O533</f>
        <v>5633.484761281515</v>
      </c>
      <c r="P536" s="52">
        <f>SUM(Q535:$Q535)/P533</f>
        <v>5746.154456507145</v>
      </c>
    </row>
    <row r="537" ht="10.5">
      <c r="D537" s="6">
        <f>(D536+D530+D520+D513+D504+D499+D491+D483+D475+D467)/10</f>
        <v>3999.273760134952</v>
      </c>
    </row>
    <row r="538" spans="2:17" ht="10.5">
      <c r="B538" s="104" t="s">
        <v>95</v>
      </c>
      <c r="C538" s="104" t="s">
        <v>95</v>
      </c>
      <c r="D538" s="104" t="s">
        <v>95</v>
      </c>
      <c r="E538" s="104" t="s">
        <v>95</v>
      </c>
      <c r="F538" s="104" t="s">
        <v>95</v>
      </c>
      <c r="G538" s="104" t="s">
        <v>95</v>
      </c>
      <c r="H538" s="104" t="s">
        <v>95</v>
      </c>
      <c r="I538" s="104" t="s">
        <v>95</v>
      </c>
      <c r="J538" s="104" t="s">
        <v>95</v>
      </c>
      <c r="K538" s="104" t="s">
        <v>95</v>
      </c>
      <c r="L538" s="104" t="s">
        <v>95</v>
      </c>
      <c r="M538" s="104" t="s">
        <v>95</v>
      </c>
      <c r="N538" s="104" t="s">
        <v>95</v>
      </c>
      <c r="O538" s="104" t="s">
        <v>95</v>
      </c>
      <c r="P538" s="104" t="s">
        <v>95</v>
      </c>
      <c r="Q538" s="104" t="s">
        <v>95</v>
      </c>
    </row>
    <row r="539" spans="1:16" ht="12.75" customHeight="1">
      <c r="A539" s="16"/>
      <c r="B539" s="104"/>
      <c r="C539" s="92"/>
      <c r="D539" s="105"/>
      <c r="E539" s="105"/>
      <c r="F539" s="105"/>
      <c r="G539" s="50"/>
      <c r="H539" s="105"/>
      <c r="I539" s="105"/>
      <c r="J539" s="43"/>
      <c r="K539" s="43"/>
      <c r="L539" s="43"/>
      <c r="M539" s="102"/>
      <c r="N539" s="43"/>
      <c r="O539" s="43"/>
      <c r="P539" s="43"/>
    </row>
    <row r="540" spans="1:41" s="7" customFormat="1" ht="15.75" customHeight="1">
      <c r="A540" s="55"/>
      <c r="B540" s="56"/>
      <c r="C540" s="56"/>
      <c r="D540" s="92"/>
      <c r="E540" s="61"/>
      <c r="F540" s="155" t="s">
        <v>99</v>
      </c>
      <c r="G540" s="62"/>
      <c r="H540" s="61"/>
      <c r="I540" s="61"/>
      <c r="J540" s="61"/>
      <c r="K540" s="61"/>
      <c r="L540" s="61"/>
      <c r="M540" s="61"/>
      <c r="N540" s="61"/>
      <c r="O540" s="61"/>
      <c r="P540" s="61"/>
      <c r="Q540" s="4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  <c r="AO540" s="56"/>
    </row>
    <row r="541" spans="1:41" s="7" customFormat="1" ht="12" customHeight="1">
      <c r="A541" s="55"/>
      <c r="B541" s="56"/>
      <c r="C541" s="56"/>
      <c r="D541" s="92"/>
      <c r="E541" s="61"/>
      <c r="F541" s="61"/>
      <c r="G541" s="62"/>
      <c r="H541" s="61"/>
      <c r="I541" s="61"/>
      <c r="J541" s="61"/>
      <c r="K541" s="61"/>
      <c r="L541" s="61"/>
      <c r="M541" s="61"/>
      <c r="N541" s="61"/>
      <c r="O541" s="61"/>
      <c r="P541" s="61"/>
      <c r="Q541" s="4"/>
      <c r="R541" s="56"/>
      <c r="S541" s="56"/>
      <c r="T541" s="56"/>
      <c r="U541" s="56"/>
      <c r="V541" s="56"/>
      <c r="W541" s="56"/>
      <c r="X541" s="56"/>
      <c r="Y541" s="56"/>
      <c r="Z541" s="56"/>
      <c r="AA541" s="56"/>
      <c r="AB541" s="56"/>
      <c r="AC541" s="56"/>
      <c r="AD541" s="56"/>
      <c r="AE541" s="56"/>
      <c r="AF541" s="56"/>
      <c r="AG541" s="56"/>
      <c r="AH541" s="56"/>
      <c r="AI541" s="56"/>
      <c r="AJ541" s="56"/>
      <c r="AK541" s="56"/>
      <c r="AL541" s="56"/>
      <c r="AM541" s="56"/>
      <c r="AN541" s="56"/>
      <c r="AO541" s="56"/>
    </row>
    <row r="542" spans="1:17" ht="12" customHeight="1" thickBot="1">
      <c r="A542" s="16"/>
      <c r="B542"/>
      <c r="C542"/>
      <c r="D542" s="66">
        <v>0</v>
      </c>
      <c r="E542" s="66">
        <v>1</v>
      </c>
      <c r="F542" s="66">
        <f aca="true" t="shared" si="366" ref="F542:Q542">E542+1</f>
        <v>2</v>
      </c>
      <c r="G542" s="150">
        <f t="shared" si="366"/>
        <v>3</v>
      </c>
      <c r="H542" s="66">
        <f t="shared" si="366"/>
        <v>4</v>
      </c>
      <c r="I542" s="103">
        <f t="shared" si="366"/>
        <v>5</v>
      </c>
      <c r="J542" s="103">
        <f t="shared" si="366"/>
        <v>6</v>
      </c>
      <c r="K542" s="103">
        <f t="shared" si="366"/>
        <v>7</v>
      </c>
      <c r="L542" s="103">
        <f t="shared" si="366"/>
        <v>8</v>
      </c>
      <c r="M542" s="111">
        <f t="shared" si="366"/>
        <v>9</v>
      </c>
      <c r="N542" s="103">
        <f t="shared" si="366"/>
        <v>10</v>
      </c>
      <c r="O542" s="103">
        <f t="shared" si="366"/>
        <v>11</v>
      </c>
      <c r="P542" s="103">
        <f t="shared" si="366"/>
        <v>12</v>
      </c>
      <c r="Q542" s="103">
        <f t="shared" si="366"/>
        <v>13</v>
      </c>
    </row>
    <row r="543" spans="1:17" ht="12" customHeight="1">
      <c r="A543" s="16"/>
      <c r="C543" s="4" t="s">
        <v>35</v>
      </c>
      <c r="D543" s="43">
        <f>$D$1</f>
        <v>1</v>
      </c>
      <c r="E543" s="43">
        <f aca="true" t="shared" si="367" ref="E543:Q543">D543</f>
        <v>1</v>
      </c>
      <c r="F543" s="43">
        <f t="shared" si="367"/>
        <v>1</v>
      </c>
      <c r="G543" s="143">
        <f t="shared" si="367"/>
        <v>1</v>
      </c>
      <c r="H543" s="43">
        <f t="shared" si="367"/>
        <v>1</v>
      </c>
      <c r="I543" s="43">
        <f t="shared" si="367"/>
        <v>1</v>
      </c>
      <c r="J543" s="43">
        <f t="shared" si="367"/>
        <v>1</v>
      </c>
      <c r="K543" s="43">
        <f t="shared" si="367"/>
        <v>1</v>
      </c>
      <c r="L543" s="43">
        <f t="shared" si="367"/>
        <v>1</v>
      </c>
      <c r="M543" s="8">
        <f t="shared" si="367"/>
        <v>1</v>
      </c>
      <c r="N543" s="43">
        <f t="shared" si="367"/>
        <v>1</v>
      </c>
      <c r="O543" s="43">
        <f t="shared" si="367"/>
        <v>1</v>
      </c>
      <c r="P543" s="8">
        <f t="shared" si="367"/>
        <v>1</v>
      </c>
      <c r="Q543" s="161">
        <f t="shared" si="367"/>
        <v>1</v>
      </c>
    </row>
    <row r="544" spans="1:17" ht="12" customHeight="1">
      <c r="A544" s="16"/>
      <c r="C544" s="4" t="s">
        <v>2</v>
      </c>
      <c r="D544" s="11">
        <f>$D$2</f>
        <v>0.06</v>
      </c>
      <c r="E544" s="11">
        <f aca="true" t="shared" si="368" ref="E544:Q544">D544</f>
        <v>0.06</v>
      </c>
      <c r="F544" s="11">
        <f t="shared" si="368"/>
        <v>0.06</v>
      </c>
      <c r="G544" s="54">
        <f t="shared" si="368"/>
        <v>0.06</v>
      </c>
      <c r="H544" s="11">
        <f t="shared" si="368"/>
        <v>0.06</v>
      </c>
      <c r="I544" s="11">
        <f t="shared" si="368"/>
        <v>0.06</v>
      </c>
      <c r="J544" s="11">
        <f t="shared" si="368"/>
        <v>0.06</v>
      </c>
      <c r="K544" s="11">
        <f t="shared" si="368"/>
        <v>0.06</v>
      </c>
      <c r="L544" s="11">
        <f t="shared" si="368"/>
        <v>0.06</v>
      </c>
      <c r="M544" s="54">
        <f t="shared" si="368"/>
        <v>0.06</v>
      </c>
      <c r="N544" s="11">
        <f t="shared" si="368"/>
        <v>0.06</v>
      </c>
      <c r="O544" s="11">
        <f t="shared" si="368"/>
        <v>0.06</v>
      </c>
      <c r="P544" s="11">
        <f t="shared" si="368"/>
        <v>0.06</v>
      </c>
      <c r="Q544" s="11">
        <f t="shared" si="368"/>
        <v>0.06</v>
      </c>
    </row>
    <row r="545" spans="1:17" ht="12" customHeight="1">
      <c r="A545" s="16"/>
      <c r="C545" s="4" t="s">
        <v>115</v>
      </c>
      <c r="D545" s="11">
        <f>$D$3</f>
        <v>0.04</v>
      </c>
      <c r="E545" s="11">
        <f aca="true" t="shared" si="369" ref="E545:Q545">D545</f>
        <v>0.04</v>
      </c>
      <c r="F545" s="11">
        <f t="shared" si="369"/>
        <v>0.04</v>
      </c>
      <c r="G545" s="54">
        <f t="shared" si="369"/>
        <v>0.04</v>
      </c>
      <c r="H545" s="11">
        <f t="shared" si="369"/>
        <v>0.04</v>
      </c>
      <c r="I545" s="11">
        <f t="shared" si="369"/>
        <v>0.04</v>
      </c>
      <c r="J545" s="11">
        <f t="shared" si="369"/>
        <v>0.04</v>
      </c>
      <c r="K545" s="11">
        <f t="shared" si="369"/>
        <v>0.04</v>
      </c>
      <c r="L545" s="11">
        <f t="shared" si="369"/>
        <v>0.04</v>
      </c>
      <c r="M545" s="54">
        <f t="shared" si="369"/>
        <v>0.04</v>
      </c>
      <c r="N545" s="11">
        <f t="shared" si="369"/>
        <v>0.04</v>
      </c>
      <c r="O545" s="11">
        <f t="shared" si="369"/>
        <v>0.04</v>
      </c>
      <c r="P545" s="11">
        <f t="shared" si="369"/>
        <v>0.04</v>
      </c>
      <c r="Q545" s="11">
        <f t="shared" si="369"/>
        <v>0.04</v>
      </c>
    </row>
    <row r="546" spans="1:41" s="7" customFormat="1" ht="11.25" customHeight="1">
      <c r="A546" s="16"/>
      <c r="C546" s="7" t="s">
        <v>36</v>
      </c>
      <c r="D546" s="51">
        <f aca="true" t="shared" si="370" ref="D546:Q546">D544+D543*D545</f>
        <v>0.1</v>
      </c>
      <c r="E546" s="51">
        <f t="shared" si="370"/>
        <v>0.1</v>
      </c>
      <c r="F546" s="51">
        <f t="shared" si="370"/>
        <v>0.1</v>
      </c>
      <c r="G546" s="50">
        <f t="shared" si="370"/>
        <v>0.1</v>
      </c>
      <c r="H546" s="51">
        <f t="shared" si="370"/>
        <v>0.1</v>
      </c>
      <c r="I546" s="51">
        <f t="shared" si="370"/>
        <v>0.1</v>
      </c>
      <c r="J546" s="51">
        <f t="shared" si="370"/>
        <v>0.1</v>
      </c>
      <c r="K546" s="51">
        <f t="shared" si="370"/>
        <v>0.1</v>
      </c>
      <c r="L546" s="51">
        <f t="shared" si="370"/>
        <v>0.1</v>
      </c>
      <c r="M546" s="50">
        <f t="shared" si="370"/>
        <v>0.1</v>
      </c>
      <c r="N546" s="51">
        <f t="shared" si="370"/>
        <v>0.1</v>
      </c>
      <c r="O546" s="51">
        <f t="shared" si="370"/>
        <v>0.1</v>
      </c>
      <c r="P546" s="51">
        <f t="shared" si="370"/>
        <v>0.1</v>
      </c>
      <c r="Q546" s="51">
        <f t="shared" si="370"/>
        <v>0.1</v>
      </c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B546" s="56"/>
      <c r="AC546" s="56"/>
      <c r="AD546" s="56"/>
      <c r="AE546" s="56"/>
      <c r="AF546" s="56"/>
      <c r="AG546" s="56"/>
      <c r="AH546" s="56"/>
      <c r="AI546" s="56"/>
      <c r="AJ546" s="56"/>
      <c r="AK546" s="56"/>
      <c r="AL546" s="56"/>
      <c r="AM546" s="56"/>
      <c r="AN546" s="56"/>
      <c r="AO546" s="56"/>
    </row>
    <row r="547" spans="1:41" s="7" customFormat="1" ht="11.25" customHeight="1" hidden="1">
      <c r="A547" s="16"/>
      <c r="C547" s="21" t="s">
        <v>37</v>
      </c>
      <c r="D547" s="12">
        <v>1</v>
      </c>
      <c r="E547" s="85">
        <f aca="true" t="shared" si="371" ref="E547:Q547">D547/(1+D546)</f>
        <v>0.9090909090909091</v>
      </c>
      <c r="F547" s="85">
        <f t="shared" si="371"/>
        <v>0.8264462809917354</v>
      </c>
      <c r="G547" s="94">
        <f t="shared" si="371"/>
        <v>0.7513148009015777</v>
      </c>
      <c r="H547" s="85">
        <f t="shared" si="371"/>
        <v>0.6830134553650705</v>
      </c>
      <c r="I547" s="85">
        <f t="shared" si="371"/>
        <v>0.6209213230591549</v>
      </c>
      <c r="J547" s="85">
        <f t="shared" si="371"/>
        <v>0.5644739300537771</v>
      </c>
      <c r="K547" s="85">
        <f t="shared" si="371"/>
        <v>0.5131581182307065</v>
      </c>
      <c r="L547" s="85">
        <f t="shared" si="371"/>
        <v>0.4665073802097331</v>
      </c>
      <c r="M547" s="94">
        <f t="shared" si="371"/>
        <v>0.4240976183724846</v>
      </c>
      <c r="N547" s="85">
        <f t="shared" si="371"/>
        <v>0.3855432894295314</v>
      </c>
      <c r="O547" s="85">
        <f t="shared" si="371"/>
        <v>0.35049389948139215</v>
      </c>
      <c r="P547" s="85">
        <f t="shared" si="371"/>
        <v>0.31863081771035645</v>
      </c>
      <c r="Q547" s="85">
        <f t="shared" si="371"/>
        <v>0.2896643797366877</v>
      </c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  <c r="AD547" s="56"/>
      <c r="AE547" s="56"/>
      <c r="AF547" s="56"/>
      <c r="AG547" s="56"/>
      <c r="AH547" s="56"/>
      <c r="AI547" s="56"/>
      <c r="AJ547" s="56"/>
      <c r="AK547" s="56"/>
      <c r="AL547" s="56"/>
      <c r="AM547" s="56"/>
      <c r="AN547" s="56"/>
      <c r="AO547" s="56"/>
    </row>
    <row r="548" spans="3:17" ht="11.25" customHeight="1" hidden="1">
      <c r="C548" s="4" t="s">
        <v>31</v>
      </c>
      <c r="E548" s="5">
        <f>E$41</f>
        <v>243</v>
      </c>
      <c r="F548" s="5">
        <f aca="true" t="shared" si="372" ref="F548:P548">F$41</f>
        <v>107</v>
      </c>
      <c r="G548" s="5">
        <f t="shared" si="372"/>
        <v>416</v>
      </c>
      <c r="H548" s="5">
        <f t="shared" si="372"/>
        <v>448.6500000000001</v>
      </c>
      <c r="I548" s="5">
        <f t="shared" si="372"/>
        <v>457.6229999999999</v>
      </c>
      <c r="J548" s="5">
        <f t="shared" si="372"/>
        <v>466.7754600000002</v>
      </c>
      <c r="K548" s="5">
        <f t="shared" si="372"/>
        <v>476.1109691999999</v>
      </c>
      <c r="L548" s="5">
        <f t="shared" si="372"/>
        <v>485.63318858399964</v>
      </c>
      <c r="M548" s="5">
        <f t="shared" si="372"/>
        <v>495.3458523556802</v>
      </c>
      <c r="N548" s="5">
        <f t="shared" si="372"/>
        <v>505.2527694027938</v>
      </c>
      <c r="O548" s="5">
        <f t="shared" si="372"/>
        <v>515.35782479085</v>
      </c>
      <c r="P548" s="5">
        <f t="shared" si="372"/>
        <v>525.6649812866659</v>
      </c>
      <c r="Q548" s="162">
        <f>P548*(1+O$5)+P548*(1+O$5)*(1+O$5)/(P546-O$5)</f>
        <v>7372.451362545489</v>
      </c>
    </row>
    <row r="549" spans="3:17" ht="11.25" customHeight="1" hidden="1">
      <c r="C549" s="21" t="s">
        <v>38</v>
      </c>
      <c r="E549" s="5">
        <f>E547*E548</f>
        <v>220.9090909090909</v>
      </c>
      <c r="F549" s="5">
        <f aca="true" t="shared" si="373" ref="F549:Q549">F547*F548</f>
        <v>88.4297520661157</v>
      </c>
      <c r="G549" s="93">
        <f t="shared" si="373"/>
        <v>312.5469571750563</v>
      </c>
      <c r="H549" s="5">
        <f t="shared" si="373"/>
        <v>306.433986749539</v>
      </c>
      <c r="I549" s="5">
        <f t="shared" si="373"/>
        <v>284.1478786222996</v>
      </c>
      <c r="J549" s="5">
        <f t="shared" si="373"/>
        <v>263.4825783588597</v>
      </c>
      <c r="K549" s="5">
        <f t="shared" si="373"/>
        <v>244.32020902366978</v>
      </c>
      <c r="L549" s="5">
        <f t="shared" si="373"/>
        <v>226.55146654922092</v>
      </c>
      <c r="M549" s="93">
        <f t="shared" si="373"/>
        <v>210.07499625473238</v>
      </c>
      <c r="N549" s="5">
        <f t="shared" si="373"/>
        <v>194.79681470893362</v>
      </c>
      <c r="O549" s="5">
        <f t="shared" si="373"/>
        <v>180.6297736391931</v>
      </c>
      <c r="P549" s="5">
        <f t="shared" si="373"/>
        <v>167.49306282906957</v>
      </c>
      <c r="Q549" s="5">
        <f t="shared" si="373"/>
        <v>2135.536551070637</v>
      </c>
    </row>
    <row r="550" spans="1:41" s="77" customFormat="1" ht="11.25" customHeight="1" thickBot="1">
      <c r="A550" s="64"/>
      <c r="C550" s="78" t="s">
        <v>39</v>
      </c>
      <c r="D550" s="79">
        <f>SUM(E549:$Q549)/D547</f>
        <v>4835.353117956418</v>
      </c>
      <c r="E550" s="79">
        <f>SUM(F549:$Q549)/E547</f>
        <v>5075.888429752059</v>
      </c>
      <c r="F550" s="79">
        <f>SUM(G549:$Q549)/F547</f>
        <v>5476.477272727266</v>
      </c>
      <c r="G550" s="95">
        <f>SUM(H549:$Q549)/G547</f>
        <v>5608.124999999993</v>
      </c>
      <c r="H550" s="79">
        <f>SUM(I549:$Q549)/H547</f>
        <v>5720.287499999992</v>
      </c>
      <c r="I550" s="79">
        <f>SUM(J549:$Q549)/I547</f>
        <v>5834.693249999993</v>
      </c>
      <c r="J550" s="79">
        <f>SUM(K549:$Q549)/J547</f>
        <v>5951.387114999992</v>
      </c>
      <c r="K550" s="79">
        <f>SUM(L549:$Q549)/K547</f>
        <v>6070.414857299992</v>
      </c>
      <c r="L550" s="79">
        <f>SUM(M549:$Q549)/L547</f>
        <v>6191.823154445992</v>
      </c>
      <c r="M550" s="95">
        <f>SUM(N549:$Q549)/M547</f>
        <v>6315.659617534911</v>
      </c>
      <c r="N550" s="79">
        <f>SUM(O549:$Q549)/N547</f>
        <v>6441.972809885611</v>
      </c>
      <c r="O550" s="79">
        <f>SUM(P549:$Q549)/O547</f>
        <v>6570.812266083322</v>
      </c>
      <c r="P550" s="79">
        <f>SUM(Q549:$Q549)/P547</f>
        <v>6702.22851140499</v>
      </c>
      <c r="Q550" s="80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/>
      <c r="AE550" s="56"/>
      <c r="AF550" s="56"/>
      <c r="AG550" s="56"/>
      <c r="AH550" s="56"/>
      <c r="AI550" s="56"/>
      <c r="AJ550" s="56"/>
      <c r="AK550" s="56"/>
      <c r="AL550" s="56"/>
      <c r="AM550" s="56"/>
      <c r="AN550" s="56"/>
      <c r="AO550" s="56"/>
    </row>
    <row r="551" spans="1:17" ht="10.5" hidden="1">
      <c r="A551" s="16"/>
      <c r="C551" s="6" t="s">
        <v>40</v>
      </c>
      <c r="D551" s="6"/>
      <c r="E551" s="44" t="e">
        <f>#REF!/#REF!-1</f>
        <v>#REF!</v>
      </c>
      <c r="F551" s="44" t="e">
        <f>#REF!/#REF!-1</f>
        <v>#REF!</v>
      </c>
      <c r="G551" s="30" t="e">
        <f>#REF!/#REF!-1</f>
        <v>#REF!</v>
      </c>
      <c r="H551" s="44" t="e">
        <f>#REF!/#REF!-1</f>
        <v>#REF!</v>
      </c>
      <c r="I551" s="44" t="e">
        <f>#REF!/#REF!-1</f>
        <v>#REF!</v>
      </c>
      <c r="J551" s="44" t="e">
        <f>#REF!/#REF!-1</f>
        <v>#REF!</v>
      </c>
      <c r="K551" s="44" t="e">
        <f>#REF!/#REF!-1</f>
        <v>#REF!</v>
      </c>
      <c r="L551" s="44" t="e">
        <f>#REF!/#REF!-1</f>
        <v>#REF!</v>
      </c>
      <c r="M551" s="30" t="e">
        <f>#REF!/#REF!-1</f>
        <v>#REF!</v>
      </c>
      <c r="N551" s="44" t="e">
        <f>#REF!/#REF!-1</f>
        <v>#REF!</v>
      </c>
      <c r="O551" s="44" t="e">
        <f>#REF!/#REF!-1</f>
        <v>#REF!</v>
      </c>
      <c r="P551" s="44" t="e">
        <f>#REF!/#REF!-1</f>
        <v>#REF!</v>
      </c>
      <c r="Q551" s="44" t="e">
        <f>Q550/#REF!-1</f>
        <v>#REF!</v>
      </c>
    </row>
    <row r="552" spans="1:17" ht="6.75" customHeight="1">
      <c r="A552" s="16"/>
      <c r="D552" s="1"/>
      <c r="E552" s="1"/>
      <c r="F552" s="1"/>
      <c r="G552" s="29"/>
      <c r="H552" s="1"/>
      <c r="I552" s="1"/>
      <c r="J552" s="3"/>
      <c r="K552" s="3"/>
      <c r="L552" s="3"/>
      <c r="M552" s="35"/>
      <c r="N552" s="3"/>
      <c r="O552" s="3"/>
      <c r="P552" s="3"/>
      <c r="Q552" s="3"/>
    </row>
    <row r="553" spans="1:17" ht="12.75" customHeight="1">
      <c r="A553" s="16"/>
      <c r="C553" s="4" t="s">
        <v>41</v>
      </c>
      <c r="D553" s="1">
        <f aca="true" t="shared" si="374" ref="D553:Q553">D$13</f>
        <v>1500</v>
      </c>
      <c r="E553" s="1">
        <f t="shared" si="374"/>
        <v>1500</v>
      </c>
      <c r="F553" s="1">
        <f t="shared" si="374"/>
        <v>1500</v>
      </c>
      <c r="G553" s="1">
        <f t="shared" si="374"/>
        <v>1500</v>
      </c>
      <c r="H553" s="1">
        <f t="shared" si="374"/>
        <v>1530</v>
      </c>
      <c r="I553" s="1">
        <f t="shared" si="374"/>
        <v>1560.6000000000001</v>
      </c>
      <c r="J553" s="1">
        <f t="shared" si="374"/>
        <v>1591.8120000000001</v>
      </c>
      <c r="K553" s="1">
        <f t="shared" si="374"/>
        <v>1623.6482400000002</v>
      </c>
      <c r="L553" s="1">
        <f t="shared" si="374"/>
        <v>1656.1212048000002</v>
      </c>
      <c r="M553" s="1">
        <f t="shared" si="374"/>
        <v>1689.2436288960002</v>
      </c>
      <c r="N553" s="1">
        <f t="shared" si="374"/>
        <v>1723.0285014739202</v>
      </c>
      <c r="O553" s="1">
        <f t="shared" si="374"/>
        <v>1757.4890715033987</v>
      </c>
      <c r="P553" s="1">
        <f t="shared" si="374"/>
        <v>1792.6388529334668</v>
      </c>
      <c r="Q553" s="1">
        <f t="shared" si="374"/>
        <v>1828.491629992136</v>
      </c>
    </row>
    <row r="554" spans="1:17" s="69" customFormat="1" ht="12.75" customHeight="1" hidden="1">
      <c r="A554" s="55"/>
      <c r="C554" s="21" t="s">
        <v>42</v>
      </c>
      <c r="D554" s="12">
        <v>1</v>
      </c>
      <c r="E554" s="85">
        <f aca="true" t="shared" si="375" ref="E554:Q554">D554/(1+D$64)</f>
        <v>0.9259259259259258</v>
      </c>
      <c r="F554" s="85">
        <f t="shared" si="375"/>
        <v>0.8573388203017831</v>
      </c>
      <c r="G554" s="85">
        <f t="shared" si="375"/>
        <v>0.7938322410201695</v>
      </c>
      <c r="H554" s="85">
        <f t="shared" si="375"/>
        <v>0.7350298527964532</v>
      </c>
      <c r="I554" s="85">
        <f t="shared" si="375"/>
        <v>0.6805831970337529</v>
      </c>
      <c r="J554" s="85">
        <f t="shared" si="375"/>
        <v>0.6301696268831045</v>
      </c>
      <c r="K554" s="85">
        <f t="shared" si="375"/>
        <v>0.5834903952621338</v>
      </c>
      <c r="L554" s="85">
        <f t="shared" si="375"/>
        <v>0.5402688845019756</v>
      </c>
      <c r="M554" s="85">
        <f t="shared" si="375"/>
        <v>0.5002489671314588</v>
      </c>
      <c r="N554" s="85">
        <f t="shared" si="375"/>
        <v>0.4631934880846841</v>
      </c>
      <c r="O554" s="85">
        <f t="shared" si="375"/>
        <v>0.4288828593376704</v>
      </c>
      <c r="P554" s="85">
        <f t="shared" si="375"/>
        <v>0.3971137586459911</v>
      </c>
      <c r="Q554" s="85">
        <f t="shared" si="375"/>
        <v>0.36769792467221396</v>
      </c>
    </row>
    <row r="555" spans="1:17" s="69" customFormat="1" ht="12.75" customHeight="1" hidden="1">
      <c r="A555" s="55"/>
      <c r="C555" s="4" t="s">
        <v>32</v>
      </c>
      <c r="D555" s="86"/>
      <c r="E555" s="102">
        <f>E$42</f>
        <v>120</v>
      </c>
      <c r="F555" s="102">
        <f aca="true" t="shared" si="376" ref="F555:P555">F$42</f>
        <v>120</v>
      </c>
      <c r="G555" s="102">
        <f t="shared" si="376"/>
        <v>120</v>
      </c>
      <c r="H555" s="102">
        <f t="shared" si="376"/>
        <v>90</v>
      </c>
      <c r="I555" s="102">
        <f t="shared" si="376"/>
        <v>91.79999999999987</v>
      </c>
      <c r="J555" s="102">
        <f t="shared" si="376"/>
        <v>93.63600000000002</v>
      </c>
      <c r="K555" s="102">
        <f t="shared" si="376"/>
        <v>95.50871999999993</v>
      </c>
      <c r="L555" s="102">
        <f t="shared" si="376"/>
        <v>97.41889440000003</v>
      </c>
      <c r="M555" s="102">
        <f t="shared" si="376"/>
        <v>99.36727228799998</v>
      </c>
      <c r="N555" s="102">
        <f t="shared" si="376"/>
        <v>101.35461773376008</v>
      </c>
      <c r="O555" s="102">
        <f t="shared" si="376"/>
        <v>103.38171008843511</v>
      </c>
      <c r="P555" s="102">
        <f t="shared" si="376"/>
        <v>105.44934429020384</v>
      </c>
      <c r="Q555" s="162">
        <f>P555*(1+O$5)+P555*(1+O$5)*(1+O$5)/(P559-O$5)</f>
        <v>1936.0499611681423</v>
      </c>
    </row>
    <row r="556" spans="1:17" s="69" customFormat="1" ht="12.75" customHeight="1" hidden="1">
      <c r="A556" s="55"/>
      <c r="C556" s="21" t="s">
        <v>43</v>
      </c>
      <c r="D556" s="86"/>
      <c r="E556" s="87">
        <f aca="true" t="shared" si="377" ref="E556:Q556">E555*E554</f>
        <v>111.1111111111111</v>
      </c>
      <c r="F556" s="87">
        <f t="shared" si="377"/>
        <v>102.88065843621398</v>
      </c>
      <c r="G556" s="94">
        <f t="shared" si="377"/>
        <v>95.25986892242034</v>
      </c>
      <c r="H556" s="87">
        <f t="shared" si="377"/>
        <v>66.15268675168079</v>
      </c>
      <c r="I556" s="87">
        <f t="shared" si="377"/>
        <v>62.47753748769843</v>
      </c>
      <c r="J556" s="87">
        <f t="shared" si="377"/>
        <v>59.00656318282639</v>
      </c>
      <c r="K556" s="87">
        <f t="shared" si="377"/>
        <v>55.728420783780415</v>
      </c>
      <c r="L556" s="87">
        <f t="shared" si="377"/>
        <v>52.63239740690378</v>
      </c>
      <c r="M556" s="94">
        <f t="shared" si="377"/>
        <v>49.70837532874242</v>
      </c>
      <c r="N556" s="87">
        <f t="shared" si="377"/>
        <v>46.94679892159011</v>
      </c>
      <c r="O556" s="87">
        <f t="shared" si="377"/>
        <v>44.33864342594614</v>
      </c>
      <c r="P556" s="87">
        <f t="shared" si="377"/>
        <v>41.87538545783802</v>
      </c>
      <c r="Q556" s="87">
        <f t="shared" si="377"/>
        <v>711.8815527832463</v>
      </c>
    </row>
    <row r="557" spans="1:17" ht="12.75" customHeight="1" thickBot="1">
      <c r="A557" s="64"/>
      <c r="B557" s="65"/>
      <c r="C557" s="119" t="s">
        <v>44</v>
      </c>
      <c r="D557" s="79">
        <f>SUM(E556:$Q556)/D554</f>
        <v>1499.9999999999982</v>
      </c>
      <c r="E557" s="79">
        <f>SUM(F556:$Q556)/E554</f>
        <v>1499.9999999999982</v>
      </c>
      <c r="F557" s="79">
        <f>SUM(G556:$Q556)/F554</f>
        <v>1499.9999999999982</v>
      </c>
      <c r="G557" s="95">
        <f>SUM(H556:$Q556)/G554</f>
        <v>1499.9999999999982</v>
      </c>
      <c r="H557" s="79">
        <f>SUM(I556:$Q556)/H554</f>
        <v>1529.9999999999984</v>
      </c>
      <c r="I557" s="79">
        <f>SUM(J556:$Q556)/I554</f>
        <v>1560.5999999999983</v>
      </c>
      <c r="J557" s="79">
        <f>SUM(K556:$Q556)/J554</f>
        <v>1591.811999999998</v>
      </c>
      <c r="K557" s="79">
        <f>SUM(L556:$Q556)/K554</f>
        <v>1623.6482399999982</v>
      </c>
      <c r="L557" s="79">
        <f>SUM(M556:$Q556)/L554</f>
        <v>1656.1212047999982</v>
      </c>
      <c r="M557" s="95">
        <f>SUM(N556:$Q556)/M554</f>
        <v>1689.2436288959984</v>
      </c>
      <c r="N557" s="79">
        <f>SUM(O556:$Q556)/N554</f>
        <v>1723.0285014739184</v>
      </c>
      <c r="O557" s="79">
        <f>SUM(P556:$Q556)/O554</f>
        <v>1757.4890715033969</v>
      </c>
      <c r="P557" s="79">
        <f>SUM(Q556:$Q556)/P554</f>
        <v>1792.638852933465</v>
      </c>
      <c r="Q557" s="67"/>
    </row>
    <row r="558" spans="1:17" ht="12" customHeight="1">
      <c r="A558" s="16"/>
      <c r="C558" s="7" t="s">
        <v>4</v>
      </c>
      <c r="D558" s="51">
        <f>$D$4</f>
        <v>0.08</v>
      </c>
      <c r="E558" s="139">
        <f aca="true" t="shared" si="378" ref="E558:Q558">D558</f>
        <v>0.08</v>
      </c>
      <c r="F558" s="139">
        <f t="shared" si="378"/>
        <v>0.08</v>
      </c>
      <c r="G558" s="140">
        <f t="shared" si="378"/>
        <v>0.08</v>
      </c>
      <c r="H558" s="139">
        <f t="shared" si="378"/>
        <v>0.08</v>
      </c>
      <c r="I558" s="139">
        <f t="shared" si="378"/>
        <v>0.08</v>
      </c>
      <c r="J558" s="139">
        <f t="shared" si="378"/>
        <v>0.08</v>
      </c>
      <c r="K558" s="139">
        <f t="shared" si="378"/>
        <v>0.08</v>
      </c>
      <c r="L558" s="139">
        <f t="shared" si="378"/>
        <v>0.08</v>
      </c>
      <c r="M558" s="140">
        <f t="shared" si="378"/>
        <v>0.08</v>
      </c>
      <c r="N558" s="139">
        <f t="shared" si="378"/>
        <v>0.08</v>
      </c>
      <c r="O558" s="139">
        <f t="shared" si="378"/>
        <v>0.08</v>
      </c>
      <c r="P558" s="139">
        <f t="shared" si="378"/>
        <v>0.08</v>
      </c>
      <c r="Q558" s="139">
        <f t="shared" si="378"/>
        <v>0.08</v>
      </c>
    </row>
    <row r="559" spans="1:41" s="107" customFormat="1" ht="12" customHeight="1">
      <c r="A559" s="16"/>
      <c r="C559" s="107" t="s">
        <v>5</v>
      </c>
      <c r="D559" s="51">
        <f>$D$5</f>
        <v>0.08</v>
      </c>
      <c r="E559" s="51">
        <f aca="true" t="shared" si="379" ref="E559:Q559">D559</f>
        <v>0.08</v>
      </c>
      <c r="F559" s="51">
        <f t="shared" si="379"/>
        <v>0.08</v>
      </c>
      <c r="G559" s="50">
        <f t="shared" si="379"/>
        <v>0.08</v>
      </c>
      <c r="H559" s="51">
        <f t="shared" si="379"/>
        <v>0.08</v>
      </c>
      <c r="I559" s="51">
        <f t="shared" si="379"/>
        <v>0.08</v>
      </c>
      <c r="J559" s="51">
        <f t="shared" si="379"/>
        <v>0.08</v>
      </c>
      <c r="K559" s="51">
        <f t="shared" si="379"/>
        <v>0.08</v>
      </c>
      <c r="L559" s="51">
        <f t="shared" si="379"/>
        <v>0.08</v>
      </c>
      <c r="M559" s="50">
        <f t="shared" si="379"/>
        <v>0.08</v>
      </c>
      <c r="N559" s="51">
        <f t="shared" si="379"/>
        <v>0.08</v>
      </c>
      <c r="O559" s="51">
        <f t="shared" si="379"/>
        <v>0.08</v>
      </c>
      <c r="P559" s="51">
        <f t="shared" si="379"/>
        <v>0.08</v>
      </c>
      <c r="Q559" s="51">
        <f t="shared" si="379"/>
        <v>0.08</v>
      </c>
      <c r="R559" s="106"/>
      <c r="S559" s="106"/>
      <c r="T559" s="106"/>
      <c r="U559" s="106"/>
      <c r="V559" s="106"/>
      <c r="W559" s="106"/>
      <c r="X559" s="106"/>
      <c r="Y559" s="106"/>
      <c r="Z559" s="106"/>
      <c r="AA559" s="106"/>
      <c r="AB559" s="106"/>
      <c r="AC559" s="106"/>
      <c r="AD559" s="106"/>
      <c r="AE559" s="106"/>
      <c r="AF559" s="106"/>
      <c r="AG559" s="106"/>
      <c r="AH559" s="106"/>
      <c r="AI559" s="106"/>
      <c r="AJ559" s="106"/>
      <c r="AK559" s="106"/>
      <c r="AL559" s="106"/>
      <c r="AM559" s="106"/>
      <c r="AN559" s="106"/>
      <c r="AO559" s="106"/>
    </row>
    <row r="560" spans="1:41" s="42" customFormat="1" ht="12" customHeight="1">
      <c r="A560" s="45"/>
      <c r="C560" s="42" t="s">
        <v>45</v>
      </c>
      <c r="D560" s="81">
        <f aca="true" t="shared" si="380" ref="D560:Q560">(D559-D544)/D545</f>
        <v>0.5000000000000001</v>
      </c>
      <c r="E560" s="81">
        <f t="shared" si="380"/>
        <v>0.5000000000000001</v>
      </c>
      <c r="F560" s="81">
        <f t="shared" si="380"/>
        <v>0.5000000000000001</v>
      </c>
      <c r="G560" s="144">
        <f t="shared" si="380"/>
        <v>0.5000000000000001</v>
      </c>
      <c r="H560" s="81">
        <f t="shared" si="380"/>
        <v>0.5000000000000001</v>
      </c>
      <c r="I560" s="81">
        <f t="shared" si="380"/>
        <v>0.5000000000000001</v>
      </c>
      <c r="J560" s="82">
        <f t="shared" si="380"/>
        <v>0.5000000000000001</v>
      </c>
      <c r="K560" s="82">
        <f t="shared" si="380"/>
        <v>0.5000000000000001</v>
      </c>
      <c r="L560" s="82">
        <f t="shared" si="380"/>
        <v>0.5000000000000001</v>
      </c>
      <c r="M560" s="83">
        <f t="shared" si="380"/>
        <v>0.5000000000000001</v>
      </c>
      <c r="N560" s="82">
        <f t="shared" si="380"/>
        <v>0.5000000000000001</v>
      </c>
      <c r="O560" s="82">
        <f t="shared" si="380"/>
        <v>0.5000000000000001</v>
      </c>
      <c r="P560" s="82">
        <f t="shared" si="380"/>
        <v>0.5000000000000001</v>
      </c>
      <c r="Q560" s="84">
        <f t="shared" si="380"/>
        <v>0.5000000000000001</v>
      </c>
      <c r="R560" s="69"/>
      <c r="S560" s="69"/>
      <c r="T560" s="69"/>
      <c r="U560" s="69"/>
      <c r="V560" s="69"/>
      <c r="W560" s="69"/>
      <c r="X560" s="69"/>
      <c r="Y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  <c r="AJ560" s="69"/>
      <c r="AK560" s="69"/>
      <c r="AL560" s="69"/>
      <c r="AM560" s="69"/>
      <c r="AN560" s="69"/>
      <c r="AO560" s="69"/>
    </row>
    <row r="561" spans="1:17" ht="11.25" customHeight="1">
      <c r="A561" s="16"/>
      <c r="D561"/>
      <c r="E561" s="43"/>
      <c r="F561" s="43"/>
      <c r="G561" s="143"/>
      <c r="H561" s="43"/>
      <c r="I561" s="43"/>
      <c r="J561" s="2"/>
      <c r="K561" s="2"/>
      <c r="L561" s="2"/>
      <c r="M561" s="8"/>
      <c r="N561" s="2"/>
      <c r="O561" s="2"/>
      <c r="P561" s="2"/>
      <c r="Q561" s="2"/>
    </row>
    <row r="562" spans="1:17" ht="11.25" customHeight="1">
      <c r="A562" s="16"/>
      <c r="C562" s="158" t="s">
        <v>113</v>
      </c>
      <c r="D562" s="43"/>
      <c r="E562" s="43">
        <f aca="true" t="shared" si="381" ref="E562:P562">D557*D559*$H$3</f>
        <v>41.99999999999995</v>
      </c>
      <c r="F562" s="43">
        <f t="shared" si="381"/>
        <v>41.99999999999995</v>
      </c>
      <c r="G562" s="43">
        <f t="shared" si="381"/>
        <v>41.99999999999995</v>
      </c>
      <c r="H562" s="43">
        <f t="shared" si="381"/>
        <v>41.99999999999995</v>
      </c>
      <c r="I562" s="43">
        <f t="shared" si="381"/>
        <v>42.839999999999954</v>
      </c>
      <c r="J562" s="43">
        <f t="shared" si="381"/>
        <v>43.69679999999995</v>
      </c>
      <c r="K562" s="43">
        <f t="shared" si="381"/>
        <v>44.57073599999994</v>
      </c>
      <c r="L562" s="43">
        <f t="shared" si="381"/>
        <v>45.46215071999995</v>
      </c>
      <c r="M562" s="43">
        <f t="shared" si="381"/>
        <v>46.371393734399945</v>
      </c>
      <c r="N562" s="43">
        <f t="shared" si="381"/>
        <v>47.29882160908795</v>
      </c>
      <c r="O562" s="43">
        <f t="shared" si="381"/>
        <v>48.24479804126971</v>
      </c>
      <c r="P562" s="43">
        <f t="shared" si="381"/>
        <v>49.20969400209511</v>
      </c>
      <c r="Q562" s="162">
        <f>P562*(1+O$5)+P562*(1+O$5)*(1+O$5)/(P546-O$5)</f>
        <v>690.1659583793839</v>
      </c>
    </row>
    <row r="563" spans="3:17" ht="11.25" customHeight="1">
      <c r="C563" s="21" t="s">
        <v>47</v>
      </c>
      <c r="E563" s="5">
        <f>E547*E562</f>
        <v>38.18181818181814</v>
      </c>
      <c r="F563" s="5">
        <f aca="true" t="shared" si="382" ref="F563:Q563">F547*F562</f>
        <v>34.710743801652846</v>
      </c>
      <c r="G563" s="93">
        <f t="shared" si="382"/>
        <v>31.555221637866225</v>
      </c>
      <c r="H563" s="5">
        <f t="shared" si="382"/>
        <v>28.68656512533293</v>
      </c>
      <c r="I563" s="5">
        <f t="shared" si="382"/>
        <v>26.60026947985417</v>
      </c>
      <c r="J563" s="5">
        <f t="shared" si="382"/>
        <v>24.66570442677386</v>
      </c>
      <c r="K563" s="5">
        <f t="shared" si="382"/>
        <v>22.871835013917572</v>
      </c>
      <c r="L563" s="5">
        <f t="shared" si="382"/>
        <v>21.208428831087208</v>
      </c>
      <c r="M563" s="93">
        <f t="shared" si="382"/>
        <v>19.66599764337177</v>
      </c>
      <c r="N563" s="5">
        <f t="shared" si="382"/>
        <v>18.235743269308372</v>
      </c>
      <c r="O563" s="5">
        <f t="shared" si="382"/>
        <v>16.90950739517685</v>
      </c>
      <c r="P563" s="5">
        <f t="shared" si="382"/>
        <v>15.679725039163989</v>
      </c>
      <c r="Q563" s="5">
        <f t="shared" si="382"/>
        <v>199.91649424934084</v>
      </c>
    </row>
    <row r="564" spans="1:17" ht="11.25" customHeight="1">
      <c r="A564" s="16"/>
      <c r="C564" s="158" t="s">
        <v>112</v>
      </c>
      <c r="D564" s="70">
        <f>SUM(E563:$Q563)/D547*(1+D546)/(1+D559)</f>
        <v>508.12672176308445</v>
      </c>
      <c r="E564" s="70">
        <f>SUM(F563:$Q563)/E547*(1+E546)/(1+E559)</f>
        <v>516.1616161616153</v>
      </c>
      <c r="F564" s="70">
        <f>SUM(G563:$Q563)/F547*(1+F546)/(1+F559)</f>
        <v>524.9999999999991</v>
      </c>
      <c r="G564" s="70">
        <f>SUM(H563:$Q563)/G547*(1+G546)/(1+G559)</f>
        <v>534.7222222222214</v>
      </c>
      <c r="H564" s="70">
        <f>SUM(I563:$Q563)/H547*(1+H546)/(1+H559)</f>
        <v>545.4166666666657</v>
      </c>
      <c r="I564" s="70">
        <f>SUM(J563:$Q563)/I547*(1+I546)/(1+I559)</f>
        <v>556.3249999999991</v>
      </c>
      <c r="J564" s="70">
        <f>SUM(K563:$Q563)/J547*(1+J546)/(1+J559)</f>
        <v>567.4514999999991</v>
      </c>
      <c r="K564" s="70">
        <f>SUM(L563:$Q563)/K547*(1+K546)/(1+K559)</f>
        <v>578.8005299999991</v>
      </c>
      <c r="L564" s="70">
        <f>SUM(M563:$Q563)/L547*(1+L546)/(1+L559)</f>
        <v>590.3765405999992</v>
      </c>
      <c r="M564" s="70">
        <f>SUM(N563:$Q563)/M547*(1+M546)/(1+M559)</f>
        <v>602.1840714119992</v>
      </c>
      <c r="N564" s="70">
        <f>SUM(O563:$Q563)/N547*(1+N546)/(1+N559)</f>
        <v>614.2277528402392</v>
      </c>
      <c r="O564" s="70">
        <f>SUM(P563:$Q563)/O547*(1+O546)/(1+O559)</f>
        <v>626.5123078970441</v>
      </c>
      <c r="P564" s="70">
        <f>SUM(Q563:$Q563)/P547*(1+P546)/(1+P559)</f>
        <v>639.0425540549852</v>
      </c>
      <c r="Q564" s="70">
        <f>SUM($Q563:R563)/Q547*(1+Q546)/(1+Q559)</f>
        <v>702.9468094604837</v>
      </c>
    </row>
    <row r="565" spans="1:17" ht="12" customHeight="1">
      <c r="A565" s="16"/>
      <c r="C565" s="21" t="s">
        <v>103</v>
      </c>
      <c r="D565" s="1">
        <f aca="true" t="shared" si="383" ref="D565:P565">D564+D550</f>
        <v>5343.479839719503</v>
      </c>
      <c r="E565" s="1">
        <f t="shared" si="383"/>
        <v>5592.050045913675</v>
      </c>
      <c r="F565" s="1">
        <f t="shared" si="383"/>
        <v>6001.477272727265</v>
      </c>
      <c r="G565" s="29">
        <f t="shared" si="383"/>
        <v>6142.847222222214</v>
      </c>
      <c r="H565" s="1">
        <f t="shared" si="383"/>
        <v>6265.704166666658</v>
      </c>
      <c r="I565" s="1">
        <f t="shared" si="383"/>
        <v>6391.018249999992</v>
      </c>
      <c r="J565" s="1">
        <f t="shared" si="383"/>
        <v>6518.8386149999915</v>
      </c>
      <c r="K565" s="1">
        <f t="shared" si="383"/>
        <v>6649.215387299992</v>
      </c>
      <c r="L565" s="1">
        <f t="shared" si="383"/>
        <v>6782.199695045992</v>
      </c>
      <c r="M565" s="29">
        <f t="shared" si="383"/>
        <v>6917.84368894691</v>
      </c>
      <c r="N565" s="1">
        <f t="shared" si="383"/>
        <v>7056.20056272585</v>
      </c>
      <c r="O565" s="1">
        <f t="shared" si="383"/>
        <v>7197.324573980366</v>
      </c>
      <c r="P565" s="1">
        <f t="shared" si="383"/>
        <v>7341.271065459975</v>
      </c>
      <c r="Q565" s="1"/>
    </row>
    <row r="566" spans="1:41" s="65" customFormat="1" ht="12" customHeight="1" thickBot="1">
      <c r="A566" s="64"/>
      <c r="B566" s="65" t="s">
        <v>48</v>
      </c>
      <c r="C566" s="77" t="s">
        <v>49</v>
      </c>
      <c r="D566" s="112">
        <f aca="true" t="shared" si="384" ref="D566:P566">D565-D557</f>
        <v>3843.4798397195045</v>
      </c>
      <c r="E566" s="79">
        <f t="shared" si="384"/>
        <v>4092.0500459136765</v>
      </c>
      <c r="F566" s="79">
        <f t="shared" si="384"/>
        <v>4501.477272727267</v>
      </c>
      <c r="G566" s="95">
        <f t="shared" si="384"/>
        <v>4642.847222222216</v>
      </c>
      <c r="H566" s="79">
        <f t="shared" si="384"/>
        <v>4735.70416666666</v>
      </c>
      <c r="I566" s="79">
        <f t="shared" si="384"/>
        <v>4830.418249999993</v>
      </c>
      <c r="J566" s="79">
        <f t="shared" si="384"/>
        <v>4927.026614999993</v>
      </c>
      <c r="K566" s="79">
        <f t="shared" si="384"/>
        <v>5025.567147299993</v>
      </c>
      <c r="L566" s="79">
        <f t="shared" si="384"/>
        <v>5126.078490245994</v>
      </c>
      <c r="M566" s="95">
        <f t="shared" si="384"/>
        <v>5228.600060050912</v>
      </c>
      <c r="N566" s="79">
        <f t="shared" si="384"/>
        <v>5333.172061251932</v>
      </c>
      <c r="O566" s="79">
        <f t="shared" si="384"/>
        <v>5439.835502476969</v>
      </c>
      <c r="P566" s="79">
        <f t="shared" si="384"/>
        <v>5548.632212526511</v>
      </c>
      <c r="Q566" s="79"/>
      <c r="R566" s="69"/>
      <c r="S566" s="69"/>
      <c r="T566" s="69"/>
      <c r="U566" s="69"/>
      <c r="V566" s="69"/>
      <c r="W566" s="69"/>
      <c r="X566" s="69"/>
      <c r="Y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  <c r="AK566" s="69"/>
      <c r="AL566" s="69"/>
      <c r="AM566" s="69"/>
      <c r="AN566" s="69"/>
      <c r="AO566" s="69"/>
    </row>
    <row r="567" spans="1:17" ht="10.5" hidden="1">
      <c r="A567" s="16"/>
      <c r="C567" s="6" t="s">
        <v>50</v>
      </c>
      <c r="D567" s="6"/>
      <c r="E567" s="44">
        <f aca="true" t="shared" si="385" ref="E567:Q567">E566/D566-1</f>
        <v>0.06467321712615326</v>
      </c>
      <c r="F567" s="44">
        <f t="shared" si="385"/>
        <v>0.10005430584174912</v>
      </c>
      <c r="G567" s="30">
        <f t="shared" si="385"/>
        <v>0.031405234532995596</v>
      </c>
      <c r="H567" s="44">
        <f t="shared" si="385"/>
        <v>0.019999999999999796</v>
      </c>
      <c r="I567" s="44">
        <f t="shared" si="385"/>
        <v>0.020000000000000018</v>
      </c>
      <c r="J567" s="44">
        <f t="shared" si="385"/>
        <v>0.020000000000000018</v>
      </c>
      <c r="K567" s="44">
        <f t="shared" si="385"/>
        <v>0.020000000000000018</v>
      </c>
      <c r="L567" s="44">
        <f t="shared" si="385"/>
        <v>0.02000000000000024</v>
      </c>
      <c r="M567" s="30">
        <f t="shared" si="385"/>
        <v>0.019999999999999796</v>
      </c>
      <c r="N567" s="44">
        <f t="shared" si="385"/>
        <v>0.02000000000000024</v>
      </c>
      <c r="O567" s="44">
        <f t="shared" si="385"/>
        <v>0.019999999999999574</v>
      </c>
      <c r="P567" s="44">
        <f t="shared" si="385"/>
        <v>0.020000000000000462</v>
      </c>
      <c r="Q567" s="44">
        <f t="shared" si="385"/>
        <v>-1</v>
      </c>
    </row>
    <row r="568" spans="1:17" ht="9" customHeight="1">
      <c r="A568" s="16"/>
      <c r="C568" s="6"/>
      <c r="D568" s="6"/>
      <c r="E568" s="6"/>
      <c r="F568" s="6"/>
      <c r="G568" s="145"/>
      <c r="H568" s="6"/>
      <c r="I568" s="6"/>
      <c r="J568" s="6"/>
      <c r="K568" s="6"/>
      <c r="L568" s="6"/>
      <c r="M568" s="30"/>
      <c r="N568" s="6"/>
      <c r="O568" s="6"/>
      <c r="P568" s="6"/>
      <c r="Q568" s="44"/>
    </row>
    <row r="569" spans="1:17" ht="12.75" customHeight="1">
      <c r="A569" s="16"/>
      <c r="C569" s="4" t="s">
        <v>51</v>
      </c>
      <c r="D569" s="12">
        <f aca="true" t="shared" si="386" ref="D569:P569">D543+(D557/D566)*(D543-D560)*(1-E$30*D559/(1+D559))</f>
        <v>1.1900765936133726</v>
      </c>
      <c r="E569" s="12">
        <f t="shared" si="386"/>
        <v>1.1785304547497135</v>
      </c>
      <c r="F569" s="12">
        <f t="shared" si="386"/>
        <v>1.1622924012038696</v>
      </c>
      <c r="G569" s="12">
        <f t="shared" si="386"/>
        <v>1.1573507635700075</v>
      </c>
      <c r="H569" s="12">
        <f t="shared" si="386"/>
        <v>1.1573507635700078</v>
      </c>
      <c r="I569" s="12">
        <f t="shared" si="386"/>
        <v>1.1573507635700075</v>
      </c>
      <c r="J569" s="12">
        <f t="shared" si="386"/>
        <v>1.1573507635700075</v>
      </c>
      <c r="K569" s="12">
        <f t="shared" si="386"/>
        <v>1.1573507635700075</v>
      </c>
      <c r="L569" s="12">
        <f t="shared" si="386"/>
        <v>1.1573507635700075</v>
      </c>
      <c r="M569" s="12">
        <f t="shared" si="386"/>
        <v>1.1573507635700078</v>
      </c>
      <c r="N569" s="12">
        <f t="shared" si="386"/>
        <v>1.1573507635700075</v>
      </c>
      <c r="O569" s="12">
        <f t="shared" si="386"/>
        <v>1.1573507635700078</v>
      </c>
      <c r="P569" s="12">
        <f t="shared" si="386"/>
        <v>1.1573507635700078</v>
      </c>
      <c r="Q569" s="12"/>
    </row>
    <row r="570" spans="1:41" s="7" customFormat="1" ht="12.75" customHeight="1">
      <c r="A570" s="16"/>
      <c r="C570" s="7" t="s">
        <v>52</v>
      </c>
      <c r="D570" s="51">
        <f>D544+D545*D569</f>
        <v>0.1076030637445349</v>
      </c>
      <c r="E570" s="51">
        <f>E544+E545*E569</f>
        <v>0.10714121818998854</v>
      </c>
      <c r="F570" s="51">
        <f aca="true" t="shared" si="387" ref="F570:P570">F544+F545*F569</f>
        <v>0.10649169604815478</v>
      </c>
      <c r="G570" s="50">
        <f t="shared" si="387"/>
        <v>0.1062940305428003</v>
      </c>
      <c r="H570" s="51">
        <f t="shared" si="387"/>
        <v>0.10629403054280032</v>
      </c>
      <c r="I570" s="51">
        <f t="shared" si="387"/>
        <v>0.1062940305428003</v>
      </c>
      <c r="J570" s="51">
        <f t="shared" si="387"/>
        <v>0.1062940305428003</v>
      </c>
      <c r="K570" s="51">
        <f t="shared" si="387"/>
        <v>0.1062940305428003</v>
      </c>
      <c r="L570" s="51">
        <f t="shared" si="387"/>
        <v>0.1062940305428003</v>
      </c>
      <c r="M570" s="50">
        <f t="shared" si="387"/>
        <v>0.10629403054280032</v>
      </c>
      <c r="N570" s="51">
        <f t="shared" si="387"/>
        <v>0.1062940305428003</v>
      </c>
      <c r="O570" s="51">
        <f t="shared" si="387"/>
        <v>0.10629403054280032</v>
      </c>
      <c r="P570" s="51">
        <f t="shared" si="387"/>
        <v>0.10629403054280032</v>
      </c>
      <c r="Q570" s="51">
        <f>P570</f>
        <v>0.10629403054280032</v>
      </c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  <c r="AO570" s="56"/>
    </row>
    <row r="571" spans="1:17" ht="12.75" customHeight="1" hidden="1">
      <c r="A571" s="16"/>
      <c r="C571" s="21" t="s">
        <v>53</v>
      </c>
      <c r="D571" s="12">
        <v>1</v>
      </c>
      <c r="E571" s="12">
        <f>1/(1+D570)</f>
        <v>0.9028505181443294</v>
      </c>
      <c r="F571" s="46">
        <f aca="true" t="shared" si="388" ref="F571:Q571">E571/(1+E570)</f>
        <v>0.8154790945461826</v>
      </c>
      <c r="G571" s="96">
        <f t="shared" si="388"/>
        <v>0.7369952232435848</v>
      </c>
      <c r="H571" s="46">
        <f t="shared" si="388"/>
        <v>0.6661838560965387</v>
      </c>
      <c r="I571" s="46">
        <f t="shared" si="388"/>
        <v>0.6021761283206756</v>
      </c>
      <c r="J571" s="46">
        <f t="shared" si="388"/>
        <v>0.5443183382497503</v>
      </c>
      <c r="K571" s="46">
        <f t="shared" si="388"/>
        <v>0.49201959264182404</v>
      </c>
      <c r="L571" s="46">
        <f t="shared" si="388"/>
        <v>0.44474577197204607</v>
      </c>
      <c r="M571" s="96">
        <f t="shared" si="388"/>
        <v>0.4020140755471967</v>
      </c>
      <c r="N571" s="46">
        <f t="shared" si="388"/>
        <v>0.36338809073203576</v>
      </c>
      <c r="O571" s="46">
        <f t="shared" si="388"/>
        <v>0.3284733359301779</v>
      </c>
      <c r="P571" s="46">
        <f t="shared" si="388"/>
        <v>0.29691323180060303</v>
      </c>
      <c r="Q571" s="46">
        <f t="shared" si="388"/>
        <v>0.2683854595644191</v>
      </c>
    </row>
    <row r="572" spans="1:17" ht="12.75" customHeight="1" hidden="1">
      <c r="A572" s="16"/>
      <c r="B572" s="42"/>
      <c r="C572" s="42" t="s">
        <v>122</v>
      </c>
      <c r="D572" s="42"/>
      <c r="E572" s="23">
        <f>E$40</f>
        <v>165</v>
      </c>
      <c r="F572" s="23">
        <f aca="true" t="shared" si="389" ref="F572:P572">F$40</f>
        <v>29</v>
      </c>
      <c r="G572" s="23">
        <f t="shared" si="389"/>
        <v>338</v>
      </c>
      <c r="H572" s="23">
        <f t="shared" si="389"/>
        <v>400.6500000000001</v>
      </c>
      <c r="I572" s="23">
        <f t="shared" si="389"/>
        <v>408.663</v>
      </c>
      <c r="J572" s="23">
        <f t="shared" si="389"/>
        <v>416.83626000000015</v>
      </c>
      <c r="K572" s="23">
        <f t="shared" si="389"/>
        <v>425.17298519999997</v>
      </c>
      <c r="L572" s="23">
        <f t="shared" si="389"/>
        <v>433.6764449039996</v>
      </c>
      <c r="M572" s="23">
        <f t="shared" si="389"/>
        <v>442.3499738020803</v>
      </c>
      <c r="N572" s="23">
        <f t="shared" si="389"/>
        <v>451.19697327812173</v>
      </c>
      <c r="O572" s="23">
        <f t="shared" si="389"/>
        <v>460.2209127436847</v>
      </c>
      <c r="P572" s="23">
        <f t="shared" si="389"/>
        <v>469.42533099855723</v>
      </c>
      <c r="Q572" s="1">
        <f>P572*(1+O$5)+P572*(1+O$5)*(1+O$5)/(P570-O$5)</f>
        <v>6138.41869439557</v>
      </c>
    </row>
    <row r="573" spans="1:41" s="134" customFormat="1" ht="12.75" customHeight="1" hidden="1">
      <c r="A573" s="133"/>
      <c r="C573" s="135" t="s">
        <v>54</v>
      </c>
      <c r="D573" s="136"/>
      <c r="E573" s="136">
        <f>E572*E571</f>
        <v>148.97033549381436</v>
      </c>
      <c r="F573" s="136">
        <f>F572*F571</f>
        <v>23.648893741839295</v>
      </c>
      <c r="G573" s="137">
        <f aca="true" t="shared" si="390" ref="G573:Q573">G572*G571</f>
        <v>249.10438545633167</v>
      </c>
      <c r="H573" s="136">
        <f t="shared" si="390"/>
        <v>266.9065619450783</v>
      </c>
      <c r="I573" s="136">
        <f t="shared" si="390"/>
        <v>246.08710312791226</v>
      </c>
      <c r="J573" s="136">
        <f t="shared" si="390"/>
        <v>226.89162036544093</v>
      </c>
      <c r="K573" s="136">
        <f t="shared" si="390"/>
        <v>209.19343898041228</v>
      </c>
      <c r="L573" s="136">
        <f t="shared" si="390"/>
        <v>192.8757652749218</v>
      </c>
      <c r="M573" s="137">
        <f t="shared" si="390"/>
        <v>177.83091578636999</v>
      </c>
      <c r="N573" s="136">
        <f t="shared" si="390"/>
        <v>163.95960666361</v>
      </c>
      <c r="O573" s="136">
        <f t="shared" si="390"/>
        <v>151.17029847374945</v>
      </c>
      <c r="P573" s="136">
        <f t="shared" si="390"/>
        <v>139.37859211584941</v>
      </c>
      <c r="Q573" s="136">
        <f t="shared" si="390"/>
        <v>1647.4623222941766</v>
      </c>
      <c r="R573" s="138"/>
      <c r="S573" s="138"/>
      <c r="T573" s="138"/>
      <c r="U573" s="138"/>
      <c r="V573" s="138"/>
      <c r="W573" s="138"/>
      <c r="X573" s="138"/>
      <c r="Y573" s="138"/>
      <c r="Z573" s="138"/>
      <c r="AA573" s="138"/>
      <c r="AB573" s="138"/>
      <c r="AC573" s="138"/>
      <c r="AD573" s="138"/>
      <c r="AE573" s="138"/>
      <c r="AF573" s="138"/>
      <c r="AG573" s="138"/>
      <c r="AH573" s="138"/>
      <c r="AI573" s="138"/>
      <c r="AJ573" s="138"/>
      <c r="AK573" s="138"/>
      <c r="AL573" s="138"/>
      <c r="AM573" s="138"/>
      <c r="AN573" s="138"/>
      <c r="AO573" s="138"/>
    </row>
    <row r="574" spans="1:41" s="65" customFormat="1" ht="12.75" customHeight="1" thickBot="1">
      <c r="A574" s="64"/>
      <c r="C574" s="66" t="s">
        <v>55</v>
      </c>
      <c r="D574" s="79">
        <f>SUM(E573:$Q573)/D571</f>
        <v>3843.4798397195063</v>
      </c>
      <c r="E574" s="79">
        <f>SUM(F573:$Q573)/E571</f>
        <v>4092.0500459136792</v>
      </c>
      <c r="F574" s="79">
        <f>SUM(G573:$Q573)/F571</f>
        <v>4501.477272727268</v>
      </c>
      <c r="G574" s="95">
        <f>SUM(H573:$Q573)/G571</f>
        <v>4642.847222222218</v>
      </c>
      <c r="H574" s="79">
        <f>SUM(I573:$Q573)/H571</f>
        <v>4735.704166666663</v>
      </c>
      <c r="I574" s="79">
        <f>SUM(J573:$Q573)/I571</f>
        <v>4830.418249999995</v>
      </c>
      <c r="J574" s="79">
        <f>SUM(K573:$Q573)/J571</f>
        <v>4927.026614999994</v>
      </c>
      <c r="K574" s="79">
        <f>SUM(L573:$Q573)/K571</f>
        <v>5025.567147299995</v>
      </c>
      <c r="L574" s="79">
        <f>SUM(M573:$Q573)/L571</f>
        <v>5126.0784902459945</v>
      </c>
      <c r="M574" s="95">
        <f>SUM(N573:$Q573)/M571</f>
        <v>5228.600060050914</v>
      </c>
      <c r="N574" s="79">
        <f>SUM(O573:$Q573)/N571</f>
        <v>5333.172061251933</v>
      </c>
      <c r="O574" s="79">
        <f>SUM(P573:$Q573)/O571</f>
        <v>5439.83550247697</v>
      </c>
      <c r="P574" s="79">
        <f>SUM(Q573:$Q573)/P571</f>
        <v>5548.632212526511</v>
      </c>
      <c r="Q574" s="79"/>
      <c r="R574" s="69"/>
      <c r="S574" s="69"/>
      <c r="T574" s="69"/>
      <c r="U574" s="69"/>
      <c r="V574" s="69"/>
      <c r="W574" s="69"/>
      <c r="X574" s="69"/>
      <c r="Y574" s="69"/>
      <c r="Z574" s="69"/>
      <c r="AA574" s="69"/>
      <c r="AB574" s="69"/>
      <c r="AC574" s="69"/>
      <c r="AD574" s="69"/>
      <c r="AE574" s="69"/>
      <c r="AF574" s="69"/>
      <c r="AG574" s="69"/>
      <c r="AH574" s="69"/>
      <c r="AI574" s="69"/>
      <c r="AJ574" s="69"/>
      <c r="AK574" s="69"/>
      <c r="AL574" s="69"/>
      <c r="AM574" s="69"/>
      <c r="AN574" s="69"/>
      <c r="AO574" s="69"/>
    </row>
    <row r="575" spans="1:17" ht="12" customHeight="1">
      <c r="A575" s="16"/>
      <c r="C575" s="89" t="s">
        <v>56</v>
      </c>
      <c r="D575" s="68">
        <f>D574</f>
        <v>3843.4798397195063</v>
      </c>
      <c r="E575" s="68">
        <f aca="true" t="shared" si="391" ref="E575:P575">D575*(1+D570)-E572</f>
        <v>4092.0500459136792</v>
      </c>
      <c r="F575" s="68">
        <f t="shared" si="391"/>
        <v>4501.477272727269</v>
      </c>
      <c r="G575" s="100">
        <f t="shared" si="391"/>
        <v>4642.847222222218</v>
      </c>
      <c r="H575" s="68">
        <f t="shared" si="391"/>
        <v>4735.704166666663</v>
      </c>
      <c r="I575" s="68">
        <f t="shared" si="391"/>
        <v>4830.418249999997</v>
      </c>
      <c r="J575" s="68">
        <f t="shared" si="391"/>
        <v>4927.026614999997</v>
      </c>
      <c r="K575" s="68">
        <f t="shared" si="391"/>
        <v>5025.5671472999975</v>
      </c>
      <c r="L575" s="68">
        <f t="shared" si="391"/>
        <v>5126.078490245998</v>
      </c>
      <c r="M575" s="100">
        <f t="shared" si="391"/>
        <v>5228.600060050919</v>
      </c>
      <c r="N575" s="68">
        <f t="shared" si="391"/>
        <v>5333.1720612519375</v>
      </c>
      <c r="O575" s="68">
        <f t="shared" si="391"/>
        <v>5439.835502476976</v>
      </c>
      <c r="P575" s="68">
        <f t="shared" si="391"/>
        <v>5548.632212526517</v>
      </c>
      <c r="Q575" s="68"/>
    </row>
    <row r="576" spans="1:13" ht="9" customHeight="1">
      <c r="A576" s="16"/>
      <c r="D576" s="41"/>
      <c r="E576" s="5"/>
      <c r="M576" s="31"/>
    </row>
    <row r="577" spans="1:41" s="7" customFormat="1" ht="13.5" customHeight="1">
      <c r="A577" s="16"/>
      <c r="C577" s="7" t="s">
        <v>57</v>
      </c>
      <c r="D577" s="49">
        <f aca="true" t="shared" si="392" ref="D577:P577">(D575*D570+D557*D559-D553*D558*E$30)/(D575+D557)</f>
        <v>0.09199439708562214</v>
      </c>
      <c r="E577" s="49">
        <f t="shared" si="392"/>
        <v>0.09235025126267654</v>
      </c>
      <c r="F577" s="49">
        <f t="shared" si="392"/>
        <v>0.09287212533951025</v>
      </c>
      <c r="G577" s="49">
        <f t="shared" si="392"/>
        <v>0.0930361644640899</v>
      </c>
      <c r="H577" s="49">
        <f t="shared" si="392"/>
        <v>0.0930361644640899</v>
      </c>
      <c r="I577" s="49">
        <f t="shared" si="392"/>
        <v>0.09303616446408987</v>
      </c>
      <c r="J577" s="49">
        <f t="shared" si="392"/>
        <v>0.0930361644640899</v>
      </c>
      <c r="K577" s="49">
        <f t="shared" si="392"/>
        <v>0.09303616446408991</v>
      </c>
      <c r="L577" s="49">
        <f t="shared" si="392"/>
        <v>0.09303616446408988</v>
      </c>
      <c r="M577" s="49">
        <f t="shared" si="392"/>
        <v>0.09303616446408991</v>
      </c>
      <c r="N577" s="49">
        <f t="shared" si="392"/>
        <v>0.0930361644640899</v>
      </c>
      <c r="O577" s="49">
        <f t="shared" si="392"/>
        <v>0.09303616446408991</v>
      </c>
      <c r="P577" s="49">
        <f t="shared" si="392"/>
        <v>0.0930361644640899</v>
      </c>
      <c r="Q577" s="49">
        <f>P577</f>
        <v>0.0930361644640899</v>
      </c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B577" s="56"/>
      <c r="AC577" s="56"/>
      <c r="AD577" s="56"/>
      <c r="AE577" s="56"/>
      <c r="AF577" s="56"/>
      <c r="AG577" s="56"/>
      <c r="AH577" s="56"/>
      <c r="AI577" s="56"/>
      <c r="AJ577" s="56"/>
      <c r="AK577" s="56"/>
      <c r="AL577" s="56"/>
      <c r="AM577" s="56"/>
      <c r="AN577" s="56"/>
      <c r="AO577" s="56"/>
    </row>
    <row r="578" spans="1:17" ht="13.5" customHeight="1" hidden="1">
      <c r="A578" s="16"/>
      <c r="C578" s="21" t="s">
        <v>58</v>
      </c>
      <c r="D578" s="12">
        <v>1</v>
      </c>
      <c r="E578" s="12">
        <f>1/(1+D577)</f>
        <v>0.9157556143775627</v>
      </c>
      <c r="F578" s="12">
        <f aca="true" t="shared" si="393" ref="F578:Q578">E578/(1+E577)</f>
        <v>0.838335152410151</v>
      </c>
      <c r="G578" s="98">
        <f t="shared" si="393"/>
        <v>0.7670935445898713</v>
      </c>
      <c r="H578" s="12">
        <f t="shared" si="393"/>
        <v>0.7018006993080357</v>
      </c>
      <c r="I578" s="12">
        <f t="shared" si="393"/>
        <v>0.6420653973989279</v>
      </c>
      <c r="J578" s="12">
        <f t="shared" si="393"/>
        <v>0.5874145963996803</v>
      </c>
      <c r="K578" s="12">
        <f t="shared" si="393"/>
        <v>0.5374155178915665</v>
      </c>
      <c r="L578" s="12">
        <f t="shared" si="393"/>
        <v>0.49167222033779506</v>
      </c>
      <c r="M578" s="98">
        <f t="shared" si="393"/>
        <v>0.44982246363171297</v>
      </c>
      <c r="N578" s="12">
        <f t="shared" si="393"/>
        <v>0.4115348405258472</v>
      </c>
      <c r="O578" s="12">
        <f t="shared" si="393"/>
        <v>0.3765061522256409</v>
      </c>
      <c r="P578" s="12">
        <f t="shared" si="393"/>
        <v>0.3444590073652686</v>
      </c>
      <c r="Q578" s="12">
        <f t="shared" si="393"/>
        <v>0.31513962535187945</v>
      </c>
    </row>
    <row r="579" spans="1:17" ht="13.5" customHeight="1" hidden="1">
      <c r="A579" s="45"/>
      <c r="B579" s="42"/>
      <c r="C579" s="42" t="s">
        <v>31</v>
      </c>
      <c r="D579" s="42"/>
      <c r="E579" s="23">
        <f>E$41</f>
        <v>243</v>
      </c>
      <c r="F579" s="23">
        <f aca="true" t="shared" si="394" ref="F579:P579">F$41</f>
        <v>107</v>
      </c>
      <c r="G579" s="23">
        <f t="shared" si="394"/>
        <v>416</v>
      </c>
      <c r="H579" s="23">
        <f t="shared" si="394"/>
        <v>448.6500000000001</v>
      </c>
      <c r="I579" s="23">
        <f t="shared" si="394"/>
        <v>457.6229999999999</v>
      </c>
      <c r="J579" s="23">
        <f t="shared" si="394"/>
        <v>466.7754600000002</v>
      </c>
      <c r="K579" s="23">
        <f t="shared" si="394"/>
        <v>476.1109691999999</v>
      </c>
      <c r="L579" s="23">
        <f t="shared" si="394"/>
        <v>485.63318858399964</v>
      </c>
      <c r="M579" s="23">
        <f t="shared" si="394"/>
        <v>495.3458523556802</v>
      </c>
      <c r="N579" s="23">
        <f t="shared" si="394"/>
        <v>505.2527694027938</v>
      </c>
      <c r="O579" s="23">
        <f t="shared" si="394"/>
        <v>515.35782479085</v>
      </c>
      <c r="P579" s="23">
        <f t="shared" si="394"/>
        <v>525.6649812866659</v>
      </c>
      <c r="Q579" s="1">
        <f>P579*(1+O$5)+P579*(1+O$5)*(1+O$5)/(P577-O$5)</f>
        <v>8024.274767681576</v>
      </c>
    </row>
    <row r="580" spans="1:17" ht="13.5" customHeight="1" hidden="1">
      <c r="A580" s="16"/>
      <c r="C580" s="21" t="s">
        <v>38</v>
      </c>
      <c r="D580" s="1"/>
      <c r="E580" s="1">
        <f aca="true" t="shared" si="395" ref="E580:Q580">E579*E578</f>
        <v>222.52861429374772</v>
      </c>
      <c r="F580" s="1">
        <f t="shared" si="395"/>
        <v>89.70186130788616</v>
      </c>
      <c r="G580" s="29">
        <f t="shared" si="395"/>
        <v>319.11091454938645</v>
      </c>
      <c r="H580" s="1">
        <f t="shared" si="395"/>
        <v>314.8628837445503</v>
      </c>
      <c r="I580" s="1">
        <f t="shared" si="395"/>
        <v>293.8238933538895</v>
      </c>
      <c r="J580" s="1">
        <f t="shared" si="395"/>
        <v>274.1907184451752</v>
      </c>
      <c r="K580" s="1">
        <f t="shared" si="395"/>
        <v>255.8694230864736</v>
      </c>
      <c r="L580" s="1">
        <f t="shared" si="395"/>
        <v>238.77234810081825</v>
      </c>
      <c r="M580" s="29">
        <f t="shared" si="395"/>
        <v>222.81769165638283</v>
      </c>
      <c r="N580" s="1">
        <f t="shared" si="395"/>
        <v>207.9291178814214</v>
      </c>
      <c r="O580" s="1">
        <f t="shared" si="395"/>
        <v>194.03539163137893</v>
      </c>
      <c r="P580" s="1">
        <f t="shared" si="395"/>
        <v>181.07003766068743</v>
      </c>
      <c r="Q580" s="1">
        <f t="shared" si="395"/>
        <v>2528.7669440077116</v>
      </c>
    </row>
    <row r="581" spans="1:17" ht="13.5" customHeight="1">
      <c r="A581" s="16"/>
      <c r="B581" s="4" t="s">
        <v>59</v>
      </c>
      <c r="C581" s="42" t="s">
        <v>60</v>
      </c>
      <c r="D581" s="18">
        <f>SUM(E580:$Q580)/D578</f>
        <v>5343.47983971951</v>
      </c>
      <c r="E581" s="18">
        <f>SUM(F580:$Q580)/E578</f>
        <v>5592.050045913681</v>
      </c>
      <c r="F581" s="18">
        <f>SUM(G580:$Q580)/F578</f>
        <v>6001.477272727272</v>
      </c>
      <c r="G581" s="91">
        <f>SUM(H580:$Q580)/G578</f>
        <v>6142.847222222222</v>
      </c>
      <c r="H581" s="18">
        <f>SUM(I580:$Q580)/H578</f>
        <v>6265.704166666665</v>
      </c>
      <c r="I581" s="18">
        <f>SUM(J580:$Q580)/I578</f>
        <v>6391.018249999997</v>
      </c>
      <c r="J581" s="18">
        <f>SUM(K580:$Q580)/J578</f>
        <v>6518.838614999997</v>
      </c>
      <c r="K581" s="18">
        <f>SUM(L580:$Q580)/K578</f>
        <v>6649.215387299997</v>
      </c>
      <c r="L581" s="18">
        <f>SUM(M580:$Q580)/L578</f>
        <v>6782.199695045998</v>
      </c>
      <c r="M581" s="91">
        <f>SUM(N580:$Q580)/M578</f>
        <v>6917.843688946916</v>
      </c>
      <c r="N581" s="18">
        <f>SUM(O580:$Q580)/N578</f>
        <v>7056.200562725854</v>
      </c>
      <c r="O581" s="18">
        <f>SUM(P580:$Q580)/O578</f>
        <v>7197.32457398037</v>
      </c>
      <c r="P581" s="18">
        <f>SUM(Q580:$Q580)/P578</f>
        <v>7341.271065459978</v>
      </c>
      <c r="Q581" s="18"/>
    </row>
    <row r="582" spans="1:41" s="65" customFormat="1" ht="12.75" customHeight="1" thickBot="1">
      <c r="A582" s="64"/>
      <c r="B582" s="65" t="s">
        <v>48</v>
      </c>
      <c r="C582" s="77" t="s">
        <v>61</v>
      </c>
      <c r="D582" s="79">
        <f aca="true" t="shared" si="396" ref="D582:P582">D581-D557</f>
        <v>3843.479839719512</v>
      </c>
      <c r="E582" s="79">
        <f t="shared" si="396"/>
        <v>4092.050045913683</v>
      </c>
      <c r="F582" s="79">
        <f t="shared" si="396"/>
        <v>4501.477272727274</v>
      </c>
      <c r="G582" s="95">
        <f t="shared" si="396"/>
        <v>4642.8472222222235</v>
      </c>
      <c r="H582" s="79">
        <f t="shared" si="396"/>
        <v>4735.704166666666</v>
      </c>
      <c r="I582" s="79">
        <f t="shared" si="396"/>
        <v>4830.418249999999</v>
      </c>
      <c r="J582" s="79">
        <f t="shared" si="396"/>
        <v>4927.026614999999</v>
      </c>
      <c r="K582" s="79">
        <f t="shared" si="396"/>
        <v>5025.567147299998</v>
      </c>
      <c r="L582" s="79">
        <f t="shared" si="396"/>
        <v>5126.078490246</v>
      </c>
      <c r="M582" s="95">
        <f t="shared" si="396"/>
        <v>5228.600060050918</v>
      </c>
      <c r="N582" s="79">
        <f t="shared" si="396"/>
        <v>5333.172061251936</v>
      </c>
      <c r="O582" s="79">
        <f t="shared" si="396"/>
        <v>5439.835502476973</v>
      </c>
      <c r="P582" s="79">
        <f t="shared" si="396"/>
        <v>5548.632212526512</v>
      </c>
      <c r="Q582" s="108"/>
      <c r="R582" s="69"/>
      <c r="S582" s="69"/>
      <c r="T582" s="69"/>
      <c r="U582" s="69"/>
      <c r="V582" s="69"/>
      <c r="W582" s="69"/>
      <c r="X582" s="69"/>
      <c r="Y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  <c r="AJ582" s="69"/>
      <c r="AK582" s="69"/>
      <c r="AL582" s="69"/>
      <c r="AM582" s="69"/>
      <c r="AN582" s="69"/>
      <c r="AO582" s="69"/>
    </row>
    <row r="583" spans="1:17" ht="12.75" customHeight="1">
      <c r="A583" s="16"/>
      <c r="C583" s="72" t="s">
        <v>62</v>
      </c>
      <c r="D583" s="70">
        <f>D581</f>
        <v>5343.47983971951</v>
      </c>
      <c r="E583" s="70">
        <f aca="true" t="shared" si="397" ref="E583:P583">D583*(1+D577)-E536</f>
        <v>1584.1273226088051</v>
      </c>
      <c r="F583" s="70">
        <f t="shared" si="397"/>
        <v>-2933.09243088051</v>
      </c>
      <c r="G583" s="29">
        <f t="shared" si="397"/>
        <v>-8013.619958753614</v>
      </c>
      <c r="H583" s="70">
        <f t="shared" si="397"/>
        <v>-13663.463923188927</v>
      </c>
      <c r="I583" s="70">
        <f t="shared" si="397"/>
        <v>-19937.033449895887</v>
      </c>
      <c r="J583" s="70">
        <f t="shared" si="397"/>
        <v>-26894.319287866456</v>
      </c>
      <c r="K583" s="70">
        <f t="shared" si="397"/>
        <v>-34600.93272958214</v>
      </c>
      <c r="L583" s="70">
        <f t="shared" si="397"/>
        <v>-43128.629309508455</v>
      </c>
      <c r="M583" s="29">
        <f t="shared" si="397"/>
        <v>-52555.88124118237</v>
      </c>
      <c r="N583" s="70">
        <f t="shared" si="397"/>
        <v>-62968.50312765838</v>
      </c>
      <c r="O583" s="70">
        <f t="shared" si="397"/>
        <v>-74460.33590198228</v>
      </c>
      <c r="P583" s="70">
        <f t="shared" si="397"/>
        <v>-87133.99441551763</v>
      </c>
      <c r="Q583" s="88"/>
    </row>
    <row r="584" spans="1:17" ht="6.75" customHeight="1">
      <c r="A584" s="16"/>
      <c r="C584" s="6"/>
      <c r="D584" s="6"/>
      <c r="E584" s="44"/>
      <c r="F584" s="44"/>
      <c r="G584" s="30"/>
      <c r="H584" s="44"/>
      <c r="I584" s="44"/>
      <c r="J584" s="44"/>
      <c r="K584" s="44"/>
      <c r="L584" s="44"/>
      <c r="M584" s="30"/>
      <c r="N584" s="44"/>
      <c r="O584" s="44"/>
      <c r="P584" s="44"/>
      <c r="Q584" s="44"/>
    </row>
    <row r="585" spans="1:41" s="7" customFormat="1" ht="13.5" customHeight="1">
      <c r="A585" s="16"/>
      <c r="C585" s="7" t="s">
        <v>63</v>
      </c>
      <c r="D585" s="49">
        <f aca="true" t="shared" si="398" ref="D585:P585">(D557*D559+D566*D570)/(D557+D566)</f>
        <v>0.09985444358337496</v>
      </c>
      <c r="E585" s="49">
        <f t="shared" si="398"/>
        <v>0.09986091365932138</v>
      </c>
      <c r="F585" s="49">
        <f t="shared" si="398"/>
        <v>0.09987040227890018</v>
      </c>
      <c r="G585" s="132">
        <f t="shared" si="398"/>
        <v>0.09987338480843799</v>
      </c>
      <c r="H585" s="49">
        <f t="shared" si="398"/>
        <v>0.09987338480843802</v>
      </c>
      <c r="I585" s="49">
        <f t="shared" si="398"/>
        <v>0.09987338480843799</v>
      </c>
      <c r="J585" s="49">
        <f t="shared" si="398"/>
        <v>0.09987338480843799</v>
      </c>
      <c r="K585" s="49">
        <f t="shared" si="398"/>
        <v>0.09987338480843799</v>
      </c>
      <c r="L585" s="49">
        <f t="shared" si="398"/>
        <v>0.09987338480843799</v>
      </c>
      <c r="M585" s="132">
        <f t="shared" si="398"/>
        <v>0.09987338480843802</v>
      </c>
      <c r="N585" s="49">
        <f t="shared" si="398"/>
        <v>0.09987338480843799</v>
      </c>
      <c r="O585" s="49">
        <f t="shared" si="398"/>
        <v>0.099873384808438</v>
      </c>
      <c r="P585" s="49">
        <f t="shared" si="398"/>
        <v>0.099873384808438</v>
      </c>
      <c r="Q585" s="49">
        <f>P585</f>
        <v>0.099873384808438</v>
      </c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  <c r="AF585" s="56"/>
      <c r="AG585" s="56"/>
      <c r="AH585" s="56"/>
      <c r="AI585" s="56"/>
      <c r="AJ585" s="56"/>
      <c r="AK585" s="56"/>
      <c r="AL585" s="56"/>
      <c r="AM585" s="56"/>
      <c r="AN585" s="56"/>
      <c r="AO585" s="56"/>
    </row>
    <row r="586" spans="1:17" ht="13.5" customHeight="1" hidden="1">
      <c r="A586" s="16"/>
      <c r="C586" s="21" t="s">
        <v>64</v>
      </c>
      <c r="D586" s="12">
        <v>1</v>
      </c>
      <c r="E586" s="12">
        <f>1/(1+D585)</f>
        <v>0.9092112195700689</v>
      </c>
      <c r="F586" s="12">
        <f aca="true" t="shared" si="399" ref="F586:Q586">E586/(1+E585)</f>
        <v>0.8266601788266605</v>
      </c>
      <c r="G586" s="98">
        <f t="shared" si="399"/>
        <v>0.7515978038083798</v>
      </c>
      <c r="H586" s="12">
        <f t="shared" si="399"/>
        <v>0.683349387474526</v>
      </c>
      <c r="I586" s="12">
        <f t="shared" si="399"/>
        <v>0.621298230244514</v>
      </c>
      <c r="J586" s="12">
        <f t="shared" si="399"/>
        <v>0.5648815934869847</v>
      </c>
      <c r="K586" s="12">
        <f t="shared" si="399"/>
        <v>0.5135878377358578</v>
      </c>
      <c r="L586" s="12">
        <f t="shared" si="399"/>
        <v>0.4669517826593358</v>
      </c>
      <c r="M586" s="98">
        <f t="shared" si="399"/>
        <v>0.42455048836431614</v>
      </c>
      <c r="N586" s="12">
        <f t="shared" si="399"/>
        <v>0.38599941977708546</v>
      </c>
      <c r="O586" s="12">
        <f t="shared" si="399"/>
        <v>0.35094895931527054</v>
      </c>
      <c r="P586" s="12">
        <f t="shared" si="399"/>
        <v>0.31908123622465356</v>
      </c>
      <c r="Q586" s="12">
        <f t="shared" si="399"/>
        <v>0.29010724382627645</v>
      </c>
    </row>
    <row r="587" spans="1:17" ht="13.5" customHeight="1" hidden="1">
      <c r="A587" s="45"/>
      <c r="B587" s="42"/>
      <c r="C587" s="42" t="s">
        <v>33</v>
      </c>
      <c r="D587" s="42"/>
      <c r="E587" s="23">
        <f>E$43</f>
        <v>285</v>
      </c>
      <c r="F587" s="23">
        <f aca="true" t="shared" si="400" ref="F587:P587">F$43</f>
        <v>149</v>
      </c>
      <c r="G587" s="23">
        <f t="shared" si="400"/>
        <v>458</v>
      </c>
      <c r="H587" s="23">
        <f t="shared" si="400"/>
        <v>490.6500000000001</v>
      </c>
      <c r="I587" s="23">
        <f t="shared" si="400"/>
        <v>500.46299999999985</v>
      </c>
      <c r="J587" s="23">
        <f t="shared" si="400"/>
        <v>510.4722600000002</v>
      </c>
      <c r="K587" s="23">
        <f t="shared" si="400"/>
        <v>520.6817051999999</v>
      </c>
      <c r="L587" s="23">
        <f t="shared" si="400"/>
        <v>531.0953393039996</v>
      </c>
      <c r="M587" s="23">
        <f t="shared" si="400"/>
        <v>541.7172460900803</v>
      </c>
      <c r="N587" s="23">
        <f t="shared" si="400"/>
        <v>552.5515910118818</v>
      </c>
      <c r="O587" s="23">
        <f t="shared" si="400"/>
        <v>563.6026228321198</v>
      </c>
      <c r="P587" s="23">
        <f t="shared" si="400"/>
        <v>574.8746752887611</v>
      </c>
      <c r="Q587" s="1">
        <f>P587*(1+O$5)+P587*(1+O$5)*(1+O$5)/(P585-O$5)</f>
        <v>8074.468655563712</v>
      </c>
    </row>
    <row r="588" spans="1:17" ht="13.5" customHeight="1" hidden="1">
      <c r="A588" s="16"/>
      <c r="C588" s="21" t="s">
        <v>65</v>
      </c>
      <c r="D588" s="1"/>
      <c r="E588" s="1">
        <f aca="true" t="shared" si="401" ref="E588:Q588">E587*E586</f>
        <v>259.12519757746963</v>
      </c>
      <c r="F588" s="1">
        <f t="shared" si="401"/>
        <v>123.17236664517242</v>
      </c>
      <c r="G588" s="29">
        <f t="shared" si="401"/>
        <v>344.23179414423794</v>
      </c>
      <c r="H588" s="1">
        <f t="shared" si="401"/>
        <v>335.28537696437627</v>
      </c>
      <c r="I588" s="1">
        <f t="shared" si="401"/>
        <v>310.93677620286013</v>
      </c>
      <c r="J588" s="1">
        <f t="shared" si="401"/>
        <v>288.3563836597025</v>
      </c>
      <c r="K588" s="1">
        <f t="shared" si="401"/>
        <v>267.4157911222873</v>
      </c>
      <c r="L588" s="1">
        <f t="shared" si="401"/>
        <v>247.99591545006743</v>
      </c>
      <c r="M588" s="29">
        <f t="shared" si="401"/>
        <v>229.986321382916</v>
      </c>
      <c r="N588" s="1">
        <f t="shared" si="401"/>
        <v>213.2845935274918</v>
      </c>
      <c r="O588" s="1">
        <f t="shared" si="401"/>
        <v>197.79575395028937</v>
      </c>
      <c r="P588" s="1">
        <f t="shared" si="401"/>
        <v>183.43172206538418</v>
      </c>
      <c r="Q588" s="1">
        <f t="shared" si="401"/>
        <v>2342.4618470272485</v>
      </c>
    </row>
    <row r="589" spans="1:17" ht="13.5" customHeight="1">
      <c r="A589" s="16"/>
      <c r="B589" s="4" t="s">
        <v>59</v>
      </c>
      <c r="C589" s="42" t="s">
        <v>66</v>
      </c>
      <c r="D589" s="18">
        <f>SUM(E588:$Q588)/D586</f>
        <v>5343.479839719504</v>
      </c>
      <c r="E589" s="18">
        <f>SUM(F588:$Q588)/E586</f>
        <v>5592.050045913677</v>
      </c>
      <c r="F589" s="18">
        <f>SUM(G588:$Q588)/F586</f>
        <v>6001.4772727272675</v>
      </c>
      <c r="G589" s="91">
        <f>SUM(H588:$Q588)/G586</f>
        <v>6142.847222222215</v>
      </c>
      <c r="H589" s="18">
        <f>SUM(I588:$Q588)/H586</f>
        <v>6265.704166666659</v>
      </c>
      <c r="I589" s="18">
        <f>SUM(J588:$Q588)/I586</f>
        <v>6391.018249999994</v>
      </c>
      <c r="J589" s="18">
        <f>SUM(K588:$Q588)/J586</f>
        <v>6518.838614999993</v>
      </c>
      <c r="K589" s="18">
        <f>SUM(L588:$Q588)/K586</f>
        <v>6649.2153872999925</v>
      </c>
      <c r="L589" s="18">
        <f>SUM(M588:$Q588)/L586</f>
        <v>6782.1996950459925</v>
      </c>
      <c r="M589" s="91">
        <f>SUM(N588:$Q588)/M586</f>
        <v>6917.843688946913</v>
      </c>
      <c r="N589" s="18">
        <f>SUM(O588:$Q588)/N586</f>
        <v>7056.20056272585</v>
      </c>
      <c r="O589" s="18">
        <f>SUM(P588:$Q588)/O586</f>
        <v>7197.324573980367</v>
      </c>
      <c r="P589" s="18">
        <f>SUM(Q588:$Q588)/P586</f>
        <v>7341.271065459975</v>
      </c>
      <c r="Q589" s="18"/>
    </row>
    <row r="590" spans="1:41" s="65" customFormat="1" ht="12.75" customHeight="1" thickBot="1">
      <c r="A590" s="64"/>
      <c r="B590" s="65" t="s">
        <v>48</v>
      </c>
      <c r="C590" s="77" t="s">
        <v>67</v>
      </c>
      <c r="D590" s="79">
        <f aca="true" t="shared" si="402" ref="D590:P590">D589-D557</f>
        <v>3843.4798397195054</v>
      </c>
      <c r="E590" s="79">
        <f t="shared" si="402"/>
        <v>4092.0500459136792</v>
      </c>
      <c r="F590" s="79">
        <f t="shared" si="402"/>
        <v>4501.477272727269</v>
      </c>
      <c r="G590" s="95">
        <f t="shared" si="402"/>
        <v>4642.847222222217</v>
      </c>
      <c r="H590" s="79">
        <f t="shared" si="402"/>
        <v>4735.704166666661</v>
      </c>
      <c r="I590" s="79">
        <f t="shared" si="402"/>
        <v>4830.418249999995</v>
      </c>
      <c r="J590" s="79">
        <f t="shared" si="402"/>
        <v>4927.026614999995</v>
      </c>
      <c r="K590" s="79">
        <f t="shared" si="402"/>
        <v>5025.567147299995</v>
      </c>
      <c r="L590" s="79">
        <f t="shared" si="402"/>
        <v>5126.0784902459945</v>
      </c>
      <c r="M590" s="95">
        <f t="shared" si="402"/>
        <v>5228.600060050914</v>
      </c>
      <c r="N590" s="79">
        <f t="shared" si="402"/>
        <v>5333.172061251932</v>
      </c>
      <c r="O590" s="79">
        <f t="shared" si="402"/>
        <v>5439.83550247697</v>
      </c>
      <c r="P590" s="79">
        <f t="shared" si="402"/>
        <v>5548.632212526511</v>
      </c>
      <c r="Q590" s="108"/>
      <c r="R590" s="69"/>
      <c r="S590" s="69"/>
      <c r="T590" s="69"/>
      <c r="U590" s="69"/>
      <c r="V590" s="69"/>
      <c r="W590" s="69"/>
      <c r="X590" s="69"/>
      <c r="Y590" s="69"/>
      <c r="Z590" s="69"/>
      <c r="AA590" s="69"/>
      <c r="AB590" s="69"/>
      <c r="AC590" s="69"/>
      <c r="AD590" s="69"/>
      <c r="AE590" s="69"/>
      <c r="AF590" s="69"/>
      <c r="AG590" s="69"/>
      <c r="AH590" s="69"/>
      <c r="AI590" s="69"/>
      <c r="AJ590" s="69"/>
      <c r="AK590" s="69"/>
      <c r="AL590" s="69"/>
      <c r="AM590" s="69"/>
      <c r="AN590" s="69"/>
      <c r="AO590" s="69"/>
    </row>
    <row r="591" spans="1:17" ht="7.5" customHeight="1">
      <c r="A591" s="16"/>
      <c r="D591" s="40"/>
      <c r="E591" s="40"/>
      <c r="F591" s="40"/>
      <c r="G591" s="33"/>
      <c r="H591" s="40"/>
      <c r="I591" s="40"/>
      <c r="J591" s="22"/>
      <c r="K591" s="22"/>
      <c r="L591" s="22"/>
      <c r="M591" s="26"/>
      <c r="N591" s="22"/>
      <c r="O591" s="22"/>
      <c r="P591" s="22"/>
      <c r="Q591" s="22"/>
    </row>
    <row r="592" spans="1:17" ht="12.75" customHeight="1">
      <c r="A592" s="16"/>
      <c r="C592" s="73" t="s">
        <v>68</v>
      </c>
      <c r="D592" s="70"/>
      <c r="E592" s="70">
        <f aca="true" t="shared" si="403" ref="E592:P592">E$29-D$14*D570</f>
        <v>141.19846812773255</v>
      </c>
      <c r="F592" s="70">
        <f t="shared" si="403"/>
        <v>307.2151543593061</v>
      </c>
      <c r="G592" s="70">
        <f t="shared" si="403"/>
        <v>310.88468291834613</v>
      </c>
      <c r="H592" s="70">
        <f t="shared" si="403"/>
        <v>320.39655159519583</v>
      </c>
      <c r="I592" s="70">
        <f t="shared" si="403"/>
        <v>326.8044826270998</v>
      </c>
      <c r="J592" s="70">
        <f t="shared" si="403"/>
        <v>333.3405722796418</v>
      </c>
      <c r="K592" s="70">
        <f t="shared" si="403"/>
        <v>340.00738372523443</v>
      </c>
      <c r="L592" s="70">
        <f t="shared" si="403"/>
        <v>346.8075313997393</v>
      </c>
      <c r="M592" s="70">
        <f t="shared" si="403"/>
        <v>353.743682027734</v>
      </c>
      <c r="N592" s="70">
        <f t="shared" si="403"/>
        <v>360.81855566828875</v>
      </c>
      <c r="O592" s="70">
        <f t="shared" si="403"/>
        <v>368.0349267816544</v>
      </c>
      <c r="P592" s="70">
        <f t="shared" si="403"/>
        <v>375.3956253172876</v>
      </c>
      <c r="Q592" s="1">
        <f>P592*(1+O$5)+P592*(1+O$5)*(1+O$5)/(P570-O$5)</f>
        <v>4908.843584005557</v>
      </c>
    </row>
    <row r="593" spans="1:41" s="42" customFormat="1" ht="12.75" customHeight="1">
      <c r="A593" s="45"/>
      <c r="C593" s="39" t="s">
        <v>69</v>
      </c>
      <c r="D593" s="18"/>
      <c r="E593" s="18">
        <f aca="true" t="shared" si="404" ref="E593:P593">E$29+E$25*(1-$F$1)-(D$13+D$14)*D577</f>
        <v>89.01120582875572</v>
      </c>
      <c r="F593" s="18">
        <f t="shared" si="404"/>
        <v>254.5289899367666</v>
      </c>
      <c r="G593" s="18">
        <f t="shared" si="404"/>
        <v>261.3574235720582</v>
      </c>
      <c r="H593" s="18">
        <f t="shared" si="404"/>
        <v>271.1721203522617</v>
      </c>
      <c r="I593" s="18">
        <f t="shared" si="404"/>
        <v>276.595562759307</v>
      </c>
      <c r="J593" s="18">
        <f t="shared" si="404"/>
        <v>282.12747401449315</v>
      </c>
      <c r="K593" s="18">
        <f t="shared" si="404"/>
        <v>287.7700234947828</v>
      </c>
      <c r="L593" s="18">
        <f t="shared" si="404"/>
        <v>293.52542396467857</v>
      </c>
      <c r="M593" s="18">
        <f t="shared" si="404"/>
        <v>299.395932443972</v>
      </c>
      <c r="N593" s="18">
        <f t="shared" si="404"/>
        <v>305.3838510928515</v>
      </c>
      <c r="O593" s="18">
        <f t="shared" si="404"/>
        <v>311.4915281147085</v>
      </c>
      <c r="P593" s="18">
        <f t="shared" si="404"/>
        <v>317.7213586770028</v>
      </c>
      <c r="Q593" s="36"/>
      <c r="R593" s="69"/>
      <c r="S593" s="69"/>
      <c r="T593" s="69"/>
      <c r="U593" s="69"/>
      <c r="V593" s="69"/>
      <c r="W593" s="69"/>
      <c r="X593" s="69"/>
      <c r="Y593" s="69"/>
      <c r="Z593" s="69"/>
      <c r="AA593" s="69"/>
      <c r="AB593" s="69"/>
      <c r="AC593" s="69"/>
      <c r="AD593" s="69"/>
      <c r="AE593" s="69"/>
      <c r="AF593" s="69"/>
      <c r="AG593" s="69"/>
      <c r="AH593" s="69"/>
      <c r="AI593" s="69"/>
      <c r="AJ593" s="69"/>
      <c r="AK593" s="69"/>
      <c r="AL593" s="69"/>
      <c r="AM593" s="69"/>
      <c r="AN593" s="69"/>
      <c r="AO593" s="69"/>
    </row>
    <row r="594" spans="1:17" ht="12.75" customHeight="1">
      <c r="A594" s="16"/>
      <c r="C594" s="56"/>
      <c r="D594" s="70"/>
      <c r="E594" s="70"/>
      <c r="F594" s="70"/>
      <c r="G594" s="29"/>
      <c r="H594" s="70"/>
      <c r="I594" s="70"/>
      <c r="J594" s="70"/>
      <c r="K594" s="70"/>
      <c r="L594" s="70"/>
      <c r="M594" s="29"/>
      <c r="N594" s="70"/>
      <c r="O594" s="70"/>
      <c r="P594" s="70"/>
      <c r="Q594" s="71"/>
    </row>
    <row r="595" spans="1:17" ht="12.75" customHeight="1" hidden="1">
      <c r="A595" s="16"/>
      <c r="C595" s="21" t="s">
        <v>53</v>
      </c>
      <c r="D595" s="70"/>
      <c r="E595" s="70">
        <f aca="true" t="shared" si="405" ref="E595:P595">E571</f>
        <v>0.9028505181443294</v>
      </c>
      <c r="F595" s="70">
        <f t="shared" si="405"/>
        <v>0.8154790945461826</v>
      </c>
      <c r="G595" s="29">
        <f t="shared" si="405"/>
        <v>0.7369952232435848</v>
      </c>
      <c r="H595" s="70">
        <f t="shared" si="405"/>
        <v>0.6661838560965387</v>
      </c>
      <c r="I595" s="70">
        <f t="shared" si="405"/>
        <v>0.6021761283206756</v>
      </c>
      <c r="J595" s="70">
        <f t="shared" si="405"/>
        <v>0.5443183382497503</v>
      </c>
      <c r="K595" s="70">
        <f t="shared" si="405"/>
        <v>0.49201959264182404</v>
      </c>
      <c r="L595" s="70">
        <f t="shared" si="405"/>
        <v>0.44474577197204607</v>
      </c>
      <c r="M595" s="29">
        <f t="shared" si="405"/>
        <v>0.4020140755471967</v>
      </c>
      <c r="N595" s="70">
        <f t="shared" si="405"/>
        <v>0.36338809073203576</v>
      </c>
      <c r="O595" s="70">
        <f t="shared" si="405"/>
        <v>0.3284733359301779</v>
      </c>
      <c r="P595" s="70">
        <f t="shared" si="405"/>
        <v>0.29691323180060303</v>
      </c>
      <c r="Q595" s="74">
        <f>P595/(1+$P570)</f>
        <v>0.2683854595644191</v>
      </c>
    </row>
    <row r="596" spans="1:17" ht="12.75" customHeight="1" hidden="1">
      <c r="A596" s="16"/>
      <c r="C596" s="21" t="s">
        <v>70</v>
      </c>
      <c r="D596" s="1"/>
      <c r="E596" s="1">
        <f>E592*E595</f>
        <v>127.48111011030892</v>
      </c>
      <c r="F596" s="1">
        <f aca="true" t="shared" si="406" ref="F596:Q596">F592*F595</f>
        <v>250.52753590779267</v>
      </c>
      <c r="G596" s="29">
        <f t="shared" si="406"/>
        <v>229.1205262904176</v>
      </c>
      <c r="H596" s="1">
        <f t="shared" si="406"/>
        <v>213.44301022172118</v>
      </c>
      <c r="I596" s="1">
        <f t="shared" si="406"/>
        <v>196.79385806622844</v>
      </c>
      <c r="J596" s="1">
        <f t="shared" si="406"/>
        <v>181.44338637447538</v>
      </c>
      <c r="K596" s="1">
        <f t="shared" si="406"/>
        <v>167.2902944357022</v>
      </c>
      <c r="L596" s="1">
        <f t="shared" si="406"/>
        <v>154.24118327809666</v>
      </c>
      <c r="M596" s="29">
        <f t="shared" si="406"/>
        <v>142.20993931104098</v>
      </c>
      <c r="N596" s="1">
        <f t="shared" si="406"/>
        <v>131.1171660449902</v>
      </c>
      <c r="O596" s="1">
        <f t="shared" si="406"/>
        <v>120.8896601387888</v>
      </c>
      <c r="P596" s="1">
        <f t="shared" si="406"/>
        <v>111.45992831676415</v>
      </c>
      <c r="Q596" s="1">
        <f t="shared" si="406"/>
        <v>1317.4622412231818</v>
      </c>
    </row>
    <row r="597" spans="1:17" ht="12.75" customHeight="1">
      <c r="A597" s="16"/>
      <c r="C597" s="42" t="s">
        <v>71</v>
      </c>
      <c r="D597" s="18">
        <f>SUM(E596:$Q596)/D571</f>
        <v>3343.479839719509</v>
      </c>
      <c r="E597" s="18">
        <f>SUM(F596:$Q596)/E571</f>
        <v>3562.0500459136824</v>
      </c>
      <c r="F597" s="18">
        <f>SUM(G596:$Q596)/F571</f>
        <v>3636.4772727272716</v>
      </c>
      <c r="G597" s="91">
        <f>SUM(H596:$Q596)/G571</f>
        <v>3712.847222222221</v>
      </c>
      <c r="H597" s="18">
        <f>SUM(I596:$Q596)/H571</f>
        <v>3787.1041666666656</v>
      </c>
      <c r="I597" s="18">
        <f>SUM(J596:$Q596)/I571</f>
        <v>3862.8462499999996</v>
      </c>
      <c r="J597" s="18">
        <f>SUM(K596:$Q596)/J571</f>
        <v>3940.1031749999993</v>
      </c>
      <c r="K597" s="18">
        <f>SUM(L596:$Q596)/K571</f>
        <v>4018.9052384999995</v>
      </c>
      <c r="L597" s="18">
        <f>SUM(M596:$Q596)/L571</f>
        <v>4099.28334327</v>
      </c>
      <c r="M597" s="91">
        <f>SUM(N596:$Q596)/M571</f>
        <v>4181.2690101354</v>
      </c>
      <c r="N597" s="18">
        <f>SUM(O596:$Q596)/N571</f>
        <v>4264.894390338108</v>
      </c>
      <c r="O597" s="18">
        <f>SUM(P596:$Q596)/O571</f>
        <v>4350.19227814487</v>
      </c>
      <c r="P597" s="18">
        <f>SUM(Q596:$Q596)/P571</f>
        <v>4437.1961237077685</v>
      </c>
      <c r="Q597" s="71"/>
    </row>
    <row r="598" spans="1:41" s="65" customFormat="1" ht="12.75" customHeight="1" thickBot="1">
      <c r="A598" s="64"/>
      <c r="B598" s="65" t="s">
        <v>72</v>
      </c>
      <c r="C598" s="77" t="s">
        <v>73</v>
      </c>
      <c r="D598" s="79">
        <f aca="true" t="shared" si="407" ref="D598:P598">D597+D$14</f>
        <v>3843.479839719509</v>
      </c>
      <c r="E598" s="79">
        <f t="shared" si="407"/>
        <v>4092.0500459136824</v>
      </c>
      <c r="F598" s="79">
        <f t="shared" si="407"/>
        <v>4501.477272727272</v>
      </c>
      <c r="G598" s="79">
        <f t="shared" si="407"/>
        <v>4642.847222222221</v>
      </c>
      <c r="H598" s="79">
        <f t="shared" si="407"/>
        <v>4735.7041666666655</v>
      </c>
      <c r="I598" s="79">
        <f t="shared" si="407"/>
        <v>4830.41825</v>
      </c>
      <c r="J598" s="79">
        <f t="shared" si="407"/>
        <v>4927.026615</v>
      </c>
      <c r="K598" s="79">
        <f t="shared" si="407"/>
        <v>5025.567147299999</v>
      </c>
      <c r="L598" s="79">
        <f t="shared" si="407"/>
        <v>5126.078490246</v>
      </c>
      <c r="M598" s="79">
        <f t="shared" si="407"/>
        <v>5228.600060050921</v>
      </c>
      <c r="N598" s="79">
        <f t="shared" si="407"/>
        <v>5333.172061251938</v>
      </c>
      <c r="O598" s="79">
        <f t="shared" si="407"/>
        <v>5439.835502476977</v>
      </c>
      <c r="P598" s="79">
        <f t="shared" si="407"/>
        <v>5548.632212526518</v>
      </c>
      <c r="Q598" s="90"/>
      <c r="R598" s="69"/>
      <c r="S598" s="69"/>
      <c r="T598" s="69"/>
      <c r="U598" s="69"/>
      <c r="V598" s="69"/>
      <c r="W598" s="69"/>
      <c r="X598" s="69"/>
      <c r="Y598" s="69"/>
      <c r="Z598" s="69"/>
      <c r="AA598" s="69"/>
      <c r="AB598" s="69"/>
      <c r="AC598" s="69"/>
      <c r="AD598" s="69"/>
      <c r="AE598" s="69"/>
      <c r="AF598" s="69"/>
      <c r="AG598" s="69"/>
      <c r="AH598" s="69"/>
      <c r="AI598" s="69"/>
      <c r="AJ598" s="69"/>
      <c r="AK598" s="69"/>
      <c r="AL598" s="69"/>
      <c r="AM598" s="69"/>
      <c r="AN598" s="69"/>
      <c r="AO598" s="69"/>
    </row>
    <row r="599" spans="1:17" s="69" customFormat="1" ht="6.75" customHeight="1">
      <c r="A599" s="55"/>
      <c r="C599" s="56"/>
      <c r="D599" s="57"/>
      <c r="E599" s="57"/>
      <c r="F599" s="57"/>
      <c r="G599" s="97"/>
      <c r="H599" s="57"/>
      <c r="I599" s="57"/>
      <c r="J599" s="57"/>
      <c r="K599" s="57"/>
      <c r="L599" s="57"/>
      <c r="M599" s="97"/>
      <c r="N599" s="57"/>
      <c r="O599" s="57"/>
      <c r="P599" s="57"/>
      <c r="Q599" s="71"/>
    </row>
    <row r="600" spans="1:17" s="69" customFormat="1" ht="12" customHeight="1" hidden="1">
      <c r="A600" s="75"/>
      <c r="C600" s="69" t="s">
        <v>69</v>
      </c>
      <c r="D600" s="58"/>
      <c r="E600" s="58">
        <f aca="true" t="shared" si="408" ref="E600:P600">E593</f>
        <v>89.01120582875572</v>
      </c>
      <c r="F600" s="58">
        <f t="shared" si="408"/>
        <v>254.5289899367666</v>
      </c>
      <c r="G600" s="93">
        <f t="shared" si="408"/>
        <v>261.3574235720582</v>
      </c>
      <c r="H600" s="58">
        <f t="shared" si="408"/>
        <v>271.1721203522617</v>
      </c>
      <c r="I600" s="58">
        <f t="shared" si="408"/>
        <v>276.595562759307</v>
      </c>
      <c r="J600" s="58">
        <f t="shared" si="408"/>
        <v>282.12747401449315</v>
      </c>
      <c r="K600" s="58">
        <f t="shared" si="408"/>
        <v>287.7700234947828</v>
      </c>
      <c r="L600" s="58">
        <f t="shared" si="408"/>
        <v>293.52542396467857</v>
      </c>
      <c r="M600" s="93">
        <f t="shared" si="408"/>
        <v>299.395932443972</v>
      </c>
      <c r="N600" s="58">
        <f t="shared" si="408"/>
        <v>305.3838510928515</v>
      </c>
      <c r="O600" s="58">
        <f t="shared" si="408"/>
        <v>311.4915281147085</v>
      </c>
      <c r="P600" s="58">
        <f t="shared" si="408"/>
        <v>317.7213586770028</v>
      </c>
      <c r="Q600" s="1">
        <f>P600*(1+O$5)+P600*(1+O$5)*(1+O$5)/(P577-O$5)</f>
        <v>4850.015832032468</v>
      </c>
    </row>
    <row r="601" spans="1:17" ht="12" customHeight="1" hidden="1">
      <c r="A601" s="16"/>
      <c r="C601" s="21" t="s">
        <v>74</v>
      </c>
      <c r="D601" s="1"/>
      <c r="E601" s="1">
        <f>E600*E578</f>
        <v>81.51251148019989</v>
      </c>
      <c r="F601" s="1">
        <f aca="true" t="shared" si="409" ref="F601:Q601">F600*F578</f>
        <v>213.38059957144102</v>
      </c>
      <c r="G601" s="29">
        <f t="shared" si="409"/>
        <v>200.48559245276653</v>
      </c>
      <c r="H601" s="1">
        <f t="shared" si="409"/>
        <v>190.30878369606006</v>
      </c>
      <c r="I601" s="1">
        <f t="shared" si="409"/>
        <v>177.59243992183454</v>
      </c>
      <c r="J601" s="1">
        <f t="shared" si="409"/>
        <v>165.72579628148478</v>
      </c>
      <c r="K601" s="1">
        <f t="shared" si="409"/>
        <v>154.65207621011695</v>
      </c>
      <c r="L601" s="1">
        <f t="shared" si="409"/>
        <v>144.31829692630615</v>
      </c>
      <c r="M601" s="29">
        <f t="shared" si="409"/>
        <v>134.6750159332614</v>
      </c>
      <c r="N601" s="1">
        <f t="shared" si="409"/>
        <v>125.67609445866572</v>
      </c>
      <c r="O601" s="1">
        <f t="shared" si="409"/>
        <v>117.27847670135394</v>
      </c>
      <c r="P601" s="1">
        <f t="shared" si="409"/>
        <v>109.44198382862484</v>
      </c>
      <c r="Q601" s="1">
        <f t="shared" si="409"/>
        <v>1528.432172257396</v>
      </c>
    </row>
    <row r="602" spans="1:17" ht="12" customHeight="1">
      <c r="A602" s="16"/>
      <c r="C602" s="42" t="s">
        <v>75</v>
      </c>
      <c r="D602" s="18">
        <f>SUM(E601:$Q601)/D578</f>
        <v>3343.479839719512</v>
      </c>
      <c r="E602" s="18">
        <f>SUM(F601:$Q601)/E578</f>
        <v>3562.0500459136842</v>
      </c>
      <c r="F602" s="18">
        <f>SUM(G601:$Q601)/F578</f>
        <v>3636.4772727272752</v>
      </c>
      <c r="G602" s="91">
        <f>SUM(H601:$Q601)/G578</f>
        <v>3712.8472222222244</v>
      </c>
      <c r="H602" s="18">
        <f>SUM(I601:$Q601)/H578</f>
        <v>3787.1041666666697</v>
      </c>
      <c r="I602" s="18">
        <f>SUM(J601:$Q601)/I578</f>
        <v>3862.8462500000023</v>
      </c>
      <c r="J602" s="18">
        <f>SUM(K601:$Q601)/J578</f>
        <v>3940.103175000002</v>
      </c>
      <c r="K602" s="18">
        <f>SUM(L601:$Q601)/K578</f>
        <v>4018.9052385000014</v>
      </c>
      <c r="L602" s="18">
        <f>SUM(M601:$Q601)/L578</f>
        <v>4099.283343270003</v>
      </c>
      <c r="M602" s="91">
        <f>SUM(N601:$Q601)/M578</f>
        <v>4181.269010135402</v>
      </c>
      <c r="N602" s="18">
        <f>SUM(O601:$Q601)/N578</f>
        <v>4264.8943903381105</v>
      </c>
      <c r="O602" s="18">
        <f>SUM(P601:$Q601)/O578</f>
        <v>4350.192278144872</v>
      </c>
      <c r="P602" s="18">
        <f>SUM(Q601:$Q601)/P578</f>
        <v>4437.19612370777</v>
      </c>
      <c r="Q602" s="18"/>
    </row>
    <row r="603" spans="1:41" s="65" customFormat="1" ht="12.75" customHeight="1" thickBot="1">
      <c r="A603" s="64"/>
      <c r="B603" s="65" t="s">
        <v>76</v>
      </c>
      <c r="C603" s="77"/>
      <c r="D603" s="112">
        <f aca="true" t="shared" si="410" ref="D603:P603">D602+D$14-(D$62-D$58)</f>
        <v>3843.4798397195136</v>
      </c>
      <c r="E603" s="112">
        <f t="shared" si="410"/>
        <v>4092.050045913686</v>
      </c>
      <c r="F603" s="112">
        <f t="shared" si="410"/>
        <v>4501.4772727272775</v>
      </c>
      <c r="G603" s="112">
        <f t="shared" si="410"/>
        <v>4642.847222222226</v>
      </c>
      <c r="H603" s="112">
        <f t="shared" si="410"/>
        <v>4735.704166666672</v>
      </c>
      <c r="I603" s="112">
        <f t="shared" si="410"/>
        <v>4830.418250000004</v>
      </c>
      <c r="J603" s="112">
        <f t="shared" si="410"/>
        <v>4927.026615000004</v>
      </c>
      <c r="K603" s="112">
        <f t="shared" si="410"/>
        <v>5025.567147300003</v>
      </c>
      <c r="L603" s="112">
        <f t="shared" si="410"/>
        <v>5126.0784902460055</v>
      </c>
      <c r="M603" s="112">
        <f t="shared" si="410"/>
        <v>5228.600060050924</v>
      </c>
      <c r="N603" s="112">
        <f t="shared" si="410"/>
        <v>5333.172061251943</v>
      </c>
      <c r="O603" s="112">
        <f t="shared" si="410"/>
        <v>5439.835502476981</v>
      </c>
      <c r="P603" s="112">
        <f t="shared" si="410"/>
        <v>5548.6322125265215</v>
      </c>
      <c r="Q603" s="90"/>
      <c r="R603" s="69"/>
      <c r="S603" s="69"/>
      <c r="T603" s="69"/>
      <c r="U603" s="69"/>
      <c r="V603" s="69"/>
      <c r="W603" s="69"/>
      <c r="X603" s="69"/>
      <c r="Y603" s="69"/>
      <c r="Z603" s="69"/>
      <c r="AA603" s="69"/>
      <c r="AB603" s="69"/>
      <c r="AC603" s="69"/>
      <c r="AD603" s="69"/>
      <c r="AE603" s="69"/>
      <c r="AF603" s="69"/>
      <c r="AG603" s="69"/>
      <c r="AH603" s="69"/>
      <c r="AI603" s="69"/>
      <c r="AJ603" s="69"/>
      <c r="AK603" s="69"/>
      <c r="AL603" s="69"/>
      <c r="AM603" s="69"/>
      <c r="AN603" s="69"/>
      <c r="AO603" s="69"/>
    </row>
    <row r="604" spans="1:17" s="69" customFormat="1" ht="12.75" customHeight="1">
      <c r="A604"/>
      <c r="C604" s="56"/>
      <c r="D604" s="57"/>
      <c r="E604" s="57"/>
      <c r="F604" s="57"/>
      <c r="G604" s="97"/>
      <c r="H604" s="57"/>
      <c r="I604" s="57"/>
      <c r="J604" s="57"/>
      <c r="K604" s="57"/>
      <c r="L604" s="57"/>
      <c r="M604" s="97"/>
      <c r="N604" s="57"/>
      <c r="O604" s="57"/>
      <c r="P604" s="57"/>
      <c r="Q604" s="71"/>
    </row>
    <row r="605" spans="1:17" ht="12" customHeight="1">
      <c r="A605" s="45"/>
      <c r="B605" s="42"/>
      <c r="C605" s="39" t="s">
        <v>77</v>
      </c>
      <c r="D605" s="42"/>
      <c r="E605" s="59">
        <f aca="true" t="shared" si="411" ref="E605:Q605">E$40-D566*(D570-D$51)</f>
        <v>135.77777777777783</v>
      </c>
      <c r="F605" s="59">
        <f t="shared" si="411"/>
        <v>-0.22222222222214327</v>
      </c>
      <c r="G605" s="59">
        <f t="shared" si="411"/>
        <v>308.7777777777779</v>
      </c>
      <c r="H605" s="59">
        <f t="shared" si="411"/>
        <v>371.4277777777779</v>
      </c>
      <c r="I605" s="59">
        <f t="shared" si="411"/>
        <v>378.85633333333334</v>
      </c>
      <c r="J605" s="59">
        <f t="shared" si="411"/>
        <v>386.43346000000025</v>
      </c>
      <c r="K605" s="59">
        <f t="shared" si="411"/>
        <v>394.16212920000004</v>
      </c>
      <c r="L605" s="59">
        <f t="shared" si="411"/>
        <v>402.04537178399966</v>
      </c>
      <c r="M605" s="59">
        <f t="shared" si="411"/>
        <v>410.08627921968036</v>
      </c>
      <c r="N605" s="59">
        <f t="shared" si="411"/>
        <v>418.28800480407375</v>
      </c>
      <c r="O605" s="59">
        <f t="shared" si="411"/>
        <v>426.65376490015586</v>
      </c>
      <c r="P605" s="59">
        <f t="shared" si="411"/>
        <v>435.1868401981577</v>
      </c>
      <c r="Q605" s="59">
        <f t="shared" si="411"/>
        <v>443.8905770021208</v>
      </c>
    </row>
    <row r="606" spans="1:41" s="7" customFormat="1" ht="12" customHeight="1">
      <c r="A606" s="45"/>
      <c r="B606" s="39"/>
      <c r="C606" s="39" t="s">
        <v>78</v>
      </c>
      <c r="D606" s="39"/>
      <c r="E606" s="59">
        <f aca="true" t="shared" si="412" ref="E606:Q606">E$41-D581*(D577-D$51)</f>
        <v>285.7777777777779</v>
      </c>
      <c r="F606" s="59">
        <f t="shared" si="412"/>
        <v>149.7777777777778</v>
      </c>
      <c r="G606" s="59">
        <f t="shared" si="412"/>
        <v>458.7777777777779</v>
      </c>
      <c r="H606" s="59">
        <f t="shared" si="412"/>
        <v>491.4277777777779</v>
      </c>
      <c r="I606" s="59">
        <f t="shared" si="412"/>
        <v>501.25633333333326</v>
      </c>
      <c r="J606" s="59">
        <f t="shared" si="412"/>
        <v>511.2814600000004</v>
      </c>
      <c r="K606" s="59">
        <f t="shared" si="412"/>
        <v>521.5070891999999</v>
      </c>
      <c r="L606" s="59">
        <f t="shared" si="412"/>
        <v>531.9372309839996</v>
      </c>
      <c r="M606" s="59">
        <f t="shared" si="412"/>
        <v>542.5759756036804</v>
      </c>
      <c r="N606" s="59">
        <f t="shared" si="412"/>
        <v>553.4274951157537</v>
      </c>
      <c r="O606" s="59">
        <f t="shared" si="412"/>
        <v>564.4960450180693</v>
      </c>
      <c r="P606" s="59">
        <f t="shared" si="412"/>
        <v>575.7859659184294</v>
      </c>
      <c r="Q606" s="59">
        <f t="shared" si="412"/>
        <v>587.3016852367981</v>
      </c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B606" s="56"/>
      <c r="AC606" s="56"/>
      <c r="AD606" s="56"/>
      <c r="AE606" s="56"/>
      <c r="AF606" s="56"/>
      <c r="AG606" s="56"/>
      <c r="AH606" s="56"/>
      <c r="AI606" s="56"/>
      <c r="AJ606" s="56"/>
      <c r="AK606" s="56"/>
      <c r="AL606" s="56"/>
      <c r="AM606" s="56"/>
      <c r="AN606" s="56"/>
      <c r="AO606" s="56"/>
    </row>
    <row r="607" spans="1:41" s="7" customFormat="1" ht="12" customHeight="1">
      <c r="A607" s="55"/>
      <c r="B607" s="56"/>
      <c r="C607" s="56"/>
      <c r="D607" s="92"/>
      <c r="E607" s="61"/>
      <c r="F607" s="61"/>
      <c r="G607" s="62"/>
      <c r="H607" s="61"/>
      <c r="I607" s="61"/>
      <c r="J607" s="61"/>
      <c r="K607" s="61"/>
      <c r="L607" s="61"/>
      <c r="M607" s="62"/>
      <c r="N607" s="61"/>
      <c r="O607" s="61"/>
      <c r="P607" s="61"/>
      <c r="Q607" s="61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B607" s="56"/>
      <c r="AC607" s="56"/>
      <c r="AD607" s="56"/>
      <c r="AE607" s="56"/>
      <c r="AF607" s="56"/>
      <c r="AG607" s="56"/>
      <c r="AH607" s="56"/>
      <c r="AI607" s="56"/>
      <c r="AJ607" s="56"/>
      <c r="AK607" s="56"/>
      <c r="AL607" s="56"/>
      <c r="AM607" s="56"/>
      <c r="AN607" s="56"/>
      <c r="AO607" s="56"/>
    </row>
    <row r="608" spans="1:41" s="7" customFormat="1" ht="12" customHeight="1">
      <c r="A608" s="16"/>
      <c r="C608" s="7" t="s">
        <v>36</v>
      </c>
      <c r="D608" s="51">
        <f aca="true" t="shared" si="413" ref="D608:Q608">D$51</f>
        <v>0.1</v>
      </c>
      <c r="E608" s="51">
        <f t="shared" si="413"/>
        <v>0.1</v>
      </c>
      <c r="F608" s="51">
        <f t="shared" si="413"/>
        <v>0.1</v>
      </c>
      <c r="G608" s="51">
        <f t="shared" si="413"/>
        <v>0.1</v>
      </c>
      <c r="H608" s="51">
        <f t="shared" si="413"/>
        <v>0.1</v>
      </c>
      <c r="I608" s="51">
        <f t="shared" si="413"/>
        <v>0.1</v>
      </c>
      <c r="J608" s="51">
        <f t="shared" si="413"/>
        <v>0.1</v>
      </c>
      <c r="K608" s="51">
        <f t="shared" si="413"/>
        <v>0.1</v>
      </c>
      <c r="L608" s="51">
        <f t="shared" si="413"/>
        <v>0.1</v>
      </c>
      <c r="M608" s="51">
        <f t="shared" si="413"/>
        <v>0.1</v>
      </c>
      <c r="N608" s="51">
        <f t="shared" si="413"/>
        <v>0.1</v>
      </c>
      <c r="O608" s="51">
        <f t="shared" si="413"/>
        <v>0.1</v>
      </c>
      <c r="P608" s="51">
        <f t="shared" si="413"/>
        <v>0.1</v>
      </c>
      <c r="Q608" s="51">
        <f t="shared" si="413"/>
        <v>0.1</v>
      </c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B608" s="56"/>
      <c r="AC608" s="56"/>
      <c r="AD608" s="56"/>
      <c r="AE608" s="56"/>
      <c r="AF608" s="56"/>
      <c r="AG608" s="56"/>
      <c r="AH608" s="56"/>
      <c r="AI608" s="56"/>
      <c r="AJ608" s="56"/>
      <c r="AK608" s="56"/>
      <c r="AL608" s="56"/>
      <c r="AM608" s="56"/>
      <c r="AN608" s="56"/>
      <c r="AO608" s="56"/>
    </row>
    <row r="609" spans="1:17" ht="12" customHeight="1" hidden="1">
      <c r="A609" s="16"/>
      <c r="C609" s="21" t="s">
        <v>53</v>
      </c>
      <c r="D609" s="12">
        <v>1</v>
      </c>
      <c r="E609" s="12">
        <f>1/(1+D608)</f>
        <v>0.9090909090909091</v>
      </c>
      <c r="F609" s="46">
        <f aca="true" t="shared" si="414" ref="F609:Q609">E609/(1+E608)</f>
        <v>0.8264462809917354</v>
      </c>
      <c r="G609" s="96">
        <f t="shared" si="414"/>
        <v>0.7513148009015777</v>
      </c>
      <c r="H609" s="46">
        <f t="shared" si="414"/>
        <v>0.6830134553650705</v>
      </c>
      <c r="I609" s="46">
        <f t="shared" si="414"/>
        <v>0.6209213230591549</v>
      </c>
      <c r="J609" s="46">
        <f t="shared" si="414"/>
        <v>0.5644739300537771</v>
      </c>
      <c r="K609" s="46">
        <f t="shared" si="414"/>
        <v>0.5131581182307065</v>
      </c>
      <c r="L609" s="46">
        <f t="shared" si="414"/>
        <v>0.4665073802097331</v>
      </c>
      <c r="M609" s="96">
        <f t="shared" si="414"/>
        <v>0.4240976183724846</v>
      </c>
      <c r="N609" s="46">
        <f t="shared" si="414"/>
        <v>0.3855432894295314</v>
      </c>
      <c r="O609" s="46">
        <f t="shared" si="414"/>
        <v>0.35049389948139215</v>
      </c>
      <c r="P609" s="46">
        <f t="shared" si="414"/>
        <v>0.31863081771035645</v>
      </c>
      <c r="Q609" s="46">
        <f t="shared" si="414"/>
        <v>0.2896643797366877</v>
      </c>
    </row>
    <row r="610" spans="1:17" ht="12" customHeight="1" hidden="1">
      <c r="A610" s="16"/>
      <c r="B610" s="42"/>
      <c r="C610" s="42" t="s">
        <v>122</v>
      </c>
      <c r="D610" s="42"/>
      <c r="E610" s="23">
        <f aca="true" t="shared" si="415" ref="E610:P610">E605</f>
        <v>135.77777777777783</v>
      </c>
      <c r="F610" s="23">
        <f t="shared" si="415"/>
        <v>-0.22222222222214327</v>
      </c>
      <c r="G610" s="101">
        <f t="shared" si="415"/>
        <v>308.7777777777779</v>
      </c>
      <c r="H610" s="23">
        <f t="shared" si="415"/>
        <v>371.4277777777779</v>
      </c>
      <c r="I610" s="23">
        <f t="shared" si="415"/>
        <v>378.85633333333334</v>
      </c>
      <c r="J610" s="23">
        <f t="shared" si="415"/>
        <v>386.43346000000025</v>
      </c>
      <c r="K610" s="23">
        <f t="shared" si="415"/>
        <v>394.16212920000004</v>
      </c>
      <c r="L610" s="23">
        <f t="shared" si="415"/>
        <v>402.04537178399966</v>
      </c>
      <c r="M610" s="23">
        <f t="shared" si="415"/>
        <v>410.08627921968036</v>
      </c>
      <c r="N610" s="23">
        <f t="shared" si="415"/>
        <v>418.28800480407375</v>
      </c>
      <c r="O610" s="23">
        <f t="shared" si="415"/>
        <v>426.65376490015586</v>
      </c>
      <c r="P610" s="23">
        <f t="shared" si="415"/>
        <v>435.1868401981577</v>
      </c>
      <c r="Q610" s="1">
        <f>P610*(1+O$5)+P610*(1+O$5)*(1+O$5)/(P608-O$5)</f>
        <v>6103.495433779162</v>
      </c>
    </row>
    <row r="611" spans="1:17" ht="12" customHeight="1" hidden="1">
      <c r="A611" s="16"/>
      <c r="C611" s="21" t="s">
        <v>54</v>
      </c>
      <c r="D611" s="1"/>
      <c r="E611" s="1">
        <f aca="true" t="shared" si="416" ref="E611:Q611">E610*E609</f>
        <v>123.43434343434348</v>
      </c>
      <c r="F611" s="1">
        <f t="shared" si="416"/>
        <v>-0.1836547291092093</v>
      </c>
      <c r="G611" s="29">
        <f t="shared" si="416"/>
        <v>231.98931463394277</v>
      </c>
      <c r="H611" s="1">
        <f t="shared" si="416"/>
        <v>253.69016991856964</v>
      </c>
      <c r="I611" s="1">
        <f t="shared" si="416"/>
        <v>235.23997574267355</v>
      </c>
      <c r="J611" s="1">
        <f t="shared" si="416"/>
        <v>218.1316138704792</v>
      </c>
      <c r="K611" s="1">
        <f t="shared" si="416"/>
        <v>202.26749649808062</v>
      </c>
      <c r="L611" s="1">
        <f t="shared" si="416"/>
        <v>187.55713311640181</v>
      </c>
      <c r="M611" s="29">
        <f t="shared" si="416"/>
        <v>173.91661434430017</v>
      </c>
      <c r="N611" s="1">
        <f t="shared" si="416"/>
        <v>161.26813330107822</v>
      </c>
      <c r="O611" s="1">
        <f t="shared" si="416"/>
        <v>149.53954178827274</v>
      </c>
      <c r="P611" s="1">
        <f t="shared" si="416"/>
        <v>138.6639387491252</v>
      </c>
      <c r="Q611" s="1">
        <f t="shared" si="416"/>
        <v>1767.9652190513466</v>
      </c>
    </row>
    <row r="612" spans="1:17" ht="12" customHeight="1">
      <c r="A612" s="16"/>
      <c r="C612" s="47" t="s">
        <v>79</v>
      </c>
      <c r="D612" s="38">
        <f>SUM(E611:$Q611)/D609</f>
        <v>3843.479839719505</v>
      </c>
      <c r="E612" s="38">
        <f>SUM(F611:$Q611)/E609</f>
        <v>4092.0500459136774</v>
      </c>
      <c r="F612" s="38">
        <f>SUM(G611:$Q611)/F609</f>
        <v>4501.4772727272675</v>
      </c>
      <c r="G612" s="27">
        <f>SUM(H611:$Q611)/G609</f>
        <v>4642.847222222217</v>
      </c>
      <c r="H612" s="38">
        <f>SUM(I611:$Q611)/H609</f>
        <v>4735.704166666662</v>
      </c>
      <c r="I612" s="38">
        <f>SUM(J611:$Q611)/I609</f>
        <v>4830.418249999995</v>
      </c>
      <c r="J612" s="38">
        <f>SUM(K611:$Q611)/J609</f>
        <v>4927.026614999995</v>
      </c>
      <c r="K612" s="38">
        <f>SUM(L611:$Q611)/K609</f>
        <v>5025.567147299994</v>
      </c>
      <c r="L612" s="38">
        <f>SUM(M611:$Q611)/L609</f>
        <v>5126.078490245995</v>
      </c>
      <c r="M612" s="27">
        <f>SUM(N611:$Q611)/M609</f>
        <v>5228.600060050914</v>
      </c>
      <c r="N612" s="38">
        <f>SUM(O611:$Q611)/N609</f>
        <v>5333.172061251932</v>
      </c>
      <c r="O612" s="38">
        <f>SUM(P611:$Q611)/O609</f>
        <v>5439.835502476971</v>
      </c>
      <c r="P612" s="38">
        <f>SUM(Q611:$Q611)/P609</f>
        <v>5548.6322125265115</v>
      </c>
      <c r="Q612" s="38"/>
    </row>
    <row r="613" spans="1:16" ht="12.75" customHeight="1">
      <c r="A613" s="16"/>
      <c r="D613" s="41"/>
      <c r="E613" s="41"/>
      <c r="F613" s="41"/>
      <c r="G613" s="146"/>
      <c r="H613" s="41"/>
      <c r="I613" s="41"/>
      <c r="J613" s="41"/>
      <c r="K613" s="41"/>
      <c r="L613" s="41"/>
      <c r="M613" s="31"/>
      <c r="N613" s="41"/>
      <c r="O613" s="41"/>
      <c r="P613" s="41"/>
    </row>
    <row r="614" spans="1:41" s="7" customFormat="1" ht="19.5" customHeight="1" hidden="1">
      <c r="A614" s="16"/>
      <c r="C614" s="7" t="s">
        <v>36</v>
      </c>
      <c r="D614" s="51">
        <f aca="true" t="shared" si="417" ref="D614:Q614">D$51</f>
        <v>0.1</v>
      </c>
      <c r="E614" s="51">
        <f t="shared" si="417"/>
        <v>0.1</v>
      </c>
      <c r="F614" s="51">
        <f t="shared" si="417"/>
        <v>0.1</v>
      </c>
      <c r="G614" s="51">
        <f t="shared" si="417"/>
        <v>0.1</v>
      </c>
      <c r="H614" s="51">
        <f t="shared" si="417"/>
        <v>0.1</v>
      </c>
      <c r="I614" s="51">
        <f t="shared" si="417"/>
        <v>0.1</v>
      </c>
      <c r="J614" s="51">
        <f t="shared" si="417"/>
        <v>0.1</v>
      </c>
      <c r="K614" s="51">
        <f t="shared" si="417"/>
        <v>0.1</v>
      </c>
      <c r="L614" s="51">
        <f t="shared" si="417"/>
        <v>0.1</v>
      </c>
      <c r="M614" s="51">
        <f t="shared" si="417"/>
        <v>0.1</v>
      </c>
      <c r="N614" s="51">
        <f t="shared" si="417"/>
        <v>0.1</v>
      </c>
      <c r="O614" s="51">
        <f t="shared" si="417"/>
        <v>0.1</v>
      </c>
      <c r="P614" s="51">
        <f t="shared" si="417"/>
        <v>0.1</v>
      </c>
      <c r="Q614" s="51">
        <f t="shared" si="417"/>
        <v>0.1</v>
      </c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B614" s="56"/>
      <c r="AC614" s="56"/>
      <c r="AD614" s="56"/>
      <c r="AE614" s="56"/>
      <c r="AF614" s="56"/>
      <c r="AG614" s="56"/>
      <c r="AH614" s="56"/>
      <c r="AI614" s="56"/>
      <c r="AJ614" s="56"/>
      <c r="AK614" s="56"/>
      <c r="AL614" s="56"/>
      <c r="AM614" s="56"/>
      <c r="AN614" s="56"/>
      <c r="AO614" s="56"/>
    </row>
    <row r="615" spans="1:17" ht="19.5" customHeight="1" hidden="1">
      <c r="A615" s="16"/>
      <c r="C615" s="21" t="s">
        <v>58</v>
      </c>
      <c r="D615" s="12">
        <v>1</v>
      </c>
      <c r="E615" s="12">
        <f>1/(1+D614)</f>
        <v>0.9090909090909091</v>
      </c>
      <c r="F615" s="12">
        <f aca="true" t="shared" si="418" ref="F615:Q615">E615/(1+E614)</f>
        <v>0.8264462809917354</v>
      </c>
      <c r="G615" s="98">
        <f t="shared" si="418"/>
        <v>0.7513148009015777</v>
      </c>
      <c r="H615" s="12">
        <f t="shared" si="418"/>
        <v>0.6830134553650705</v>
      </c>
      <c r="I615" s="12">
        <f t="shared" si="418"/>
        <v>0.6209213230591549</v>
      </c>
      <c r="J615" s="12">
        <f t="shared" si="418"/>
        <v>0.5644739300537771</v>
      </c>
      <c r="K615" s="12">
        <f t="shared" si="418"/>
        <v>0.5131581182307065</v>
      </c>
      <c r="L615" s="12">
        <f t="shared" si="418"/>
        <v>0.4665073802097331</v>
      </c>
      <c r="M615" s="98">
        <f t="shared" si="418"/>
        <v>0.4240976183724846</v>
      </c>
      <c r="N615" s="12">
        <f t="shared" si="418"/>
        <v>0.3855432894295314</v>
      </c>
      <c r="O615" s="12">
        <f t="shared" si="418"/>
        <v>0.35049389948139215</v>
      </c>
      <c r="P615" s="12">
        <f t="shared" si="418"/>
        <v>0.31863081771035645</v>
      </c>
      <c r="Q615" s="12">
        <f t="shared" si="418"/>
        <v>0.2896643797366877</v>
      </c>
    </row>
    <row r="616" spans="1:17" ht="19.5" customHeight="1" hidden="1">
      <c r="A616" s="45"/>
      <c r="B616" s="42"/>
      <c r="C616" s="42" t="s">
        <v>31</v>
      </c>
      <c r="D616" s="42"/>
      <c r="E616" s="42">
        <f aca="true" t="shared" si="419" ref="E616:P616">E606</f>
        <v>285.7777777777779</v>
      </c>
      <c r="F616" s="42">
        <f t="shared" si="419"/>
        <v>149.7777777777778</v>
      </c>
      <c r="G616" s="99">
        <f t="shared" si="419"/>
        <v>458.7777777777779</v>
      </c>
      <c r="H616" s="42">
        <f t="shared" si="419"/>
        <v>491.4277777777779</v>
      </c>
      <c r="I616" s="42">
        <f t="shared" si="419"/>
        <v>501.25633333333326</v>
      </c>
      <c r="J616" s="42">
        <f t="shared" si="419"/>
        <v>511.2814600000004</v>
      </c>
      <c r="K616" s="42">
        <f t="shared" si="419"/>
        <v>521.5070891999999</v>
      </c>
      <c r="L616" s="42">
        <f t="shared" si="419"/>
        <v>531.9372309839996</v>
      </c>
      <c r="M616" s="99">
        <f t="shared" si="419"/>
        <v>542.5759756036804</v>
      </c>
      <c r="N616" s="42">
        <f t="shared" si="419"/>
        <v>553.4274951157537</v>
      </c>
      <c r="O616" s="42">
        <f t="shared" si="419"/>
        <v>564.4960450180693</v>
      </c>
      <c r="P616" s="42">
        <f t="shared" si="419"/>
        <v>575.7859659184294</v>
      </c>
      <c r="Q616" s="1">
        <f>P616*(1+O$5)+P616*(1+O$5)*(1+O$5)/(P614-O$5)</f>
        <v>8075.398172005973</v>
      </c>
    </row>
    <row r="617" spans="1:17" ht="19.5" customHeight="1" hidden="1">
      <c r="A617" s="16"/>
      <c r="C617" s="21" t="s">
        <v>38</v>
      </c>
      <c r="D617" s="1"/>
      <c r="E617" s="1">
        <f aca="true" t="shared" si="420" ref="E617:Q617">E616*E615</f>
        <v>259.7979797979799</v>
      </c>
      <c r="F617" s="1">
        <f t="shared" si="420"/>
        <v>123.78328741965106</v>
      </c>
      <c r="G617" s="29">
        <f t="shared" si="420"/>
        <v>344.68653476917945</v>
      </c>
      <c r="H617" s="1">
        <f t="shared" si="420"/>
        <v>335.6517845623781</v>
      </c>
      <c r="I617" s="1">
        <f t="shared" si="420"/>
        <v>311.24074568511406</v>
      </c>
      <c r="J617" s="1">
        <f t="shared" si="420"/>
        <v>288.60505508983323</v>
      </c>
      <c r="K617" s="1">
        <f t="shared" si="420"/>
        <v>267.61559653784514</v>
      </c>
      <c r="L617" s="1">
        <f t="shared" si="420"/>
        <v>248.1526440623653</v>
      </c>
      <c r="M617" s="29">
        <f t="shared" si="420"/>
        <v>230.10517903964816</v>
      </c>
      <c r="N617" s="1">
        <f t="shared" si="420"/>
        <v>213.3702569276736</v>
      </c>
      <c r="O617" s="1">
        <f t="shared" si="420"/>
        <v>197.85242006020658</v>
      </c>
      <c r="P617" s="1">
        <f t="shared" si="420"/>
        <v>183.46315314673657</v>
      </c>
      <c r="Q617" s="1">
        <f t="shared" si="420"/>
        <v>2339.1552026208915</v>
      </c>
    </row>
    <row r="618" spans="1:17" ht="19.5" customHeight="1">
      <c r="A618" s="16"/>
      <c r="B618" s="4" t="s">
        <v>80</v>
      </c>
      <c r="C618" s="42" t="s">
        <v>81</v>
      </c>
      <c r="D618" s="18">
        <f>SUM(E617:$Q617)/D615</f>
        <v>5343.479839719503</v>
      </c>
      <c r="E618" s="18">
        <f>SUM(F617:$Q617)/E615</f>
        <v>5592.050045913676</v>
      </c>
      <c r="F618" s="18">
        <f>SUM(G617:$Q617)/F615</f>
        <v>6001.477272727266</v>
      </c>
      <c r="G618" s="91">
        <f>SUM(H617:$Q617)/G615</f>
        <v>6142.8472222222135</v>
      </c>
      <c r="H618" s="18">
        <f>SUM(I617:$Q617)/H615</f>
        <v>6265.704166666659</v>
      </c>
      <c r="I618" s="18">
        <f>SUM(J617:$Q617)/I615</f>
        <v>6391.018249999992</v>
      </c>
      <c r="J618" s="18">
        <f>SUM(K617:$Q617)/J615</f>
        <v>6518.838614999992</v>
      </c>
      <c r="K618" s="18">
        <f>SUM(L617:$Q617)/K615</f>
        <v>6649.215387299992</v>
      </c>
      <c r="L618" s="18">
        <f>SUM(M617:$Q617)/L615</f>
        <v>6782.199695045992</v>
      </c>
      <c r="M618" s="91">
        <f>SUM(N617:$Q617)/M615</f>
        <v>6917.843688946911</v>
      </c>
      <c r="N618" s="18">
        <f>SUM(O617:$Q617)/N615</f>
        <v>7056.2005627258495</v>
      </c>
      <c r="O618" s="18">
        <f>SUM(P617:$Q617)/O615</f>
        <v>7197.324573980367</v>
      </c>
      <c r="P618" s="18">
        <f>SUM(Q617:$Q617)/P615</f>
        <v>7341.271065459975</v>
      </c>
      <c r="Q618" s="18"/>
    </row>
    <row r="619" spans="1:17" ht="12.75" customHeight="1">
      <c r="A619" s="16"/>
      <c r="B619" s="4" t="s">
        <v>48</v>
      </c>
      <c r="C619" s="39" t="s">
        <v>82</v>
      </c>
      <c r="D619" s="38">
        <f aca="true" t="shared" si="421" ref="D619:P619">D618-D$62</f>
        <v>3843.4798397195045</v>
      </c>
      <c r="E619" s="38">
        <f t="shared" si="421"/>
        <v>4092.0500459136774</v>
      </c>
      <c r="F619" s="38">
        <f t="shared" si="421"/>
        <v>4501.4772727272675</v>
      </c>
      <c r="G619" s="38">
        <f t="shared" si="421"/>
        <v>4642.847222222215</v>
      </c>
      <c r="H619" s="38">
        <f t="shared" si="421"/>
        <v>4735.704166666661</v>
      </c>
      <c r="I619" s="38">
        <f t="shared" si="421"/>
        <v>4830.418249999993</v>
      </c>
      <c r="J619" s="38">
        <f t="shared" si="421"/>
        <v>4927.026614999994</v>
      </c>
      <c r="K619" s="38">
        <f t="shared" si="421"/>
        <v>5025.567147299993</v>
      </c>
      <c r="L619" s="38">
        <f t="shared" si="421"/>
        <v>5126.078490245994</v>
      </c>
      <c r="M619" s="38">
        <f t="shared" si="421"/>
        <v>5228.600060050912</v>
      </c>
      <c r="N619" s="38">
        <f t="shared" si="421"/>
        <v>5333.172061251931</v>
      </c>
      <c r="O619" s="38">
        <f t="shared" si="421"/>
        <v>5439.83550247697</v>
      </c>
      <c r="P619" s="38">
        <f t="shared" si="421"/>
        <v>5548.632212526511</v>
      </c>
      <c r="Q619" s="20"/>
    </row>
    <row r="620" spans="1:17" ht="12.75" customHeight="1">
      <c r="A620" s="16"/>
      <c r="C620" s="56"/>
      <c r="D620" s="57"/>
      <c r="E620" s="57"/>
      <c r="F620" s="116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88"/>
    </row>
    <row r="621" spans="1:41" s="7" customFormat="1" ht="12" customHeight="1">
      <c r="A621" s="45"/>
      <c r="B621" s="39"/>
      <c r="C621" s="39" t="s">
        <v>87</v>
      </c>
      <c r="D621" s="39"/>
      <c r="E621" s="59">
        <f aca="true" t="shared" si="422" ref="E621:Q621">E$41-D618*(D577-D$49)</f>
        <v>72.03858418899767</v>
      </c>
      <c r="F621" s="59">
        <f t="shared" si="422"/>
        <v>-73.9042240587693</v>
      </c>
      <c r="G621" s="59">
        <f t="shared" si="422"/>
        <v>218.71868686868714</v>
      </c>
      <c r="H621" s="59">
        <f t="shared" si="422"/>
        <v>245.71388888888924</v>
      </c>
      <c r="I621" s="59">
        <f t="shared" si="422"/>
        <v>250.62816666666677</v>
      </c>
      <c r="J621" s="59">
        <f t="shared" si="422"/>
        <v>255.64073000000062</v>
      </c>
      <c r="K621" s="59">
        <f t="shared" si="422"/>
        <v>260.75354460000017</v>
      </c>
      <c r="L621" s="59">
        <f t="shared" si="422"/>
        <v>265.9686154919998</v>
      </c>
      <c r="M621" s="59">
        <f t="shared" si="422"/>
        <v>271.2879878018406</v>
      </c>
      <c r="N621" s="59">
        <f t="shared" si="422"/>
        <v>276.7137475578771</v>
      </c>
      <c r="O621" s="59">
        <f t="shared" si="422"/>
        <v>282.2480225090352</v>
      </c>
      <c r="P621" s="59">
        <f t="shared" si="422"/>
        <v>287.8929829592147</v>
      </c>
      <c r="Q621" s="59">
        <f t="shared" si="422"/>
        <v>293.65084261839905</v>
      </c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  <c r="AK621" s="56"/>
      <c r="AL621" s="56"/>
      <c r="AM621" s="56"/>
      <c r="AN621" s="56"/>
      <c r="AO621" s="56"/>
    </row>
    <row r="622" spans="1:17" ht="12" customHeight="1">
      <c r="A622" s="45"/>
      <c r="B622" s="42"/>
      <c r="C622" s="39" t="s">
        <v>86</v>
      </c>
      <c r="D622" s="42"/>
      <c r="E622" s="59">
        <f aca="true" t="shared" si="423" ref="E622:Q622">E$40-D619*(D570-D$49)</f>
        <v>-17.961415811002382</v>
      </c>
      <c r="F622" s="59">
        <f t="shared" si="423"/>
        <v>-163.90422405876927</v>
      </c>
      <c r="G622" s="59">
        <f t="shared" si="423"/>
        <v>128.71868686868712</v>
      </c>
      <c r="H622" s="59">
        <f t="shared" si="423"/>
        <v>185.7138888888893</v>
      </c>
      <c r="I622" s="59">
        <f t="shared" si="423"/>
        <v>189.42816666666687</v>
      </c>
      <c r="J622" s="59">
        <f t="shared" si="423"/>
        <v>193.21673000000047</v>
      </c>
      <c r="K622" s="59">
        <f t="shared" si="423"/>
        <v>197.08106460000025</v>
      </c>
      <c r="L622" s="59">
        <f t="shared" si="423"/>
        <v>201.0226858919999</v>
      </c>
      <c r="M622" s="59">
        <f t="shared" si="423"/>
        <v>205.04313960984058</v>
      </c>
      <c r="N622" s="59">
        <f t="shared" si="423"/>
        <v>209.14400240203722</v>
      </c>
      <c r="O622" s="59">
        <f t="shared" si="423"/>
        <v>213.32688245007856</v>
      </c>
      <c r="P622" s="59">
        <f t="shared" si="423"/>
        <v>217.59342009907886</v>
      </c>
      <c r="Q622" s="59">
        <f t="shared" si="423"/>
        <v>221.9452885010603</v>
      </c>
    </row>
    <row r="623" spans="1:16" ht="14.25" customHeight="1">
      <c r="A623" s="16"/>
      <c r="B623" s="104"/>
      <c r="C623" s="92"/>
      <c r="D623" s="105"/>
      <c r="E623" s="105"/>
      <c r="F623" s="105"/>
      <c r="G623" s="50"/>
      <c r="H623" s="105"/>
      <c r="I623" s="105"/>
      <c r="J623" s="43"/>
      <c r="K623" s="43"/>
      <c r="L623" s="43"/>
      <c r="M623" s="102"/>
      <c r="N623" s="43"/>
      <c r="O623" s="43"/>
      <c r="P623" s="43"/>
    </row>
    <row r="624" spans="1:17" ht="14.25" customHeight="1" hidden="1">
      <c r="A624" s="16"/>
      <c r="B624" s="104"/>
      <c r="C624" s="4" t="s">
        <v>2</v>
      </c>
      <c r="D624" s="105">
        <f aca="true" t="shared" si="424" ref="D624:P624">D$49</f>
        <v>0.06</v>
      </c>
      <c r="E624" s="105">
        <f t="shared" si="424"/>
        <v>0.06</v>
      </c>
      <c r="F624" s="105">
        <f t="shared" si="424"/>
        <v>0.06</v>
      </c>
      <c r="G624" s="105">
        <f t="shared" si="424"/>
        <v>0.06</v>
      </c>
      <c r="H624" s="105">
        <f t="shared" si="424"/>
        <v>0.06</v>
      </c>
      <c r="I624" s="105">
        <f t="shared" si="424"/>
        <v>0.06</v>
      </c>
      <c r="J624" s="105">
        <f t="shared" si="424"/>
        <v>0.06</v>
      </c>
      <c r="K624" s="105">
        <f t="shared" si="424"/>
        <v>0.06</v>
      </c>
      <c r="L624" s="105">
        <f t="shared" si="424"/>
        <v>0.06</v>
      </c>
      <c r="M624" s="105">
        <f t="shared" si="424"/>
        <v>0.06</v>
      </c>
      <c r="N624" s="105">
        <f t="shared" si="424"/>
        <v>0.06</v>
      </c>
      <c r="O624" s="105">
        <f t="shared" si="424"/>
        <v>0.06</v>
      </c>
      <c r="P624" s="105">
        <f t="shared" si="424"/>
        <v>0.06</v>
      </c>
      <c r="Q624" s="49">
        <f>P624</f>
        <v>0.06</v>
      </c>
    </row>
    <row r="625" spans="1:17" ht="14.25" customHeight="1" hidden="1">
      <c r="A625" s="16"/>
      <c r="C625" s="158" t="s">
        <v>91</v>
      </c>
      <c r="D625" s="12">
        <v>1</v>
      </c>
      <c r="E625" s="12">
        <f>1/(1+D624)</f>
        <v>0.9433962264150942</v>
      </c>
      <c r="F625" s="12">
        <f aca="true" t="shared" si="425" ref="F625:Q625">E625/(1+E624)</f>
        <v>0.8899964400142398</v>
      </c>
      <c r="G625" s="98">
        <f t="shared" si="425"/>
        <v>0.8396192830323017</v>
      </c>
      <c r="H625" s="12">
        <f t="shared" si="425"/>
        <v>0.7920936632380204</v>
      </c>
      <c r="I625" s="12">
        <f t="shared" si="425"/>
        <v>0.747258172866057</v>
      </c>
      <c r="J625" s="12">
        <f t="shared" si="425"/>
        <v>0.7049605404396764</v>
      </c>
      <c r="K625" s="12">
        <f t="shared" si="425"/>
        <v>0.6650571136223362</v>
      </c>
      <c r="L625" s="12">
        <f t="shared" si="425"/>
        <v>0.6274123713418266</v>
      </c>
      <c r="M625" s="98">
        <f t="shared" si="425"/>
        <v>0.5918984635300251</v>
      </c>
      <c r="N625" s="12">
        <f t="shared" si="425"/>
        <v>0.558394776915118</v>
      </c>
      <c r="O625" s="12">
        <f t="shared" si="425"/>
        <v>0.5267875253916207</v>
      </c>
      <c r="P625" s="12">
        <f t="shared" si="425"/>
        <v>0.4969693635770006</v>
      </c>
      <c r="Q625" s="12">
        <f t="shared" si="425"/>
        <v>0.4688390222424534</v>
      </c>
    </row>
    <row r="626" spans="1:17" ht="14.25" customHeight="1" hidden="1">
      <c r="A626" s="45"/>
      <c r="B626" s="42"/>
      <c r="C626" s="39" t="s">
        <v>87</v>
      </c>
      <c r="D626" s="42"/>
      <c r="E626" s="23">
        <f>E621</f>
        <v>72.03858418899767</v>
      </c>
      <c r="F626" s="23">
        <f aca="true" t="shared" si="426" ref="F626:P626">F621</f>
        <v>-73.9042240587693</v>
      </c>
      <c r="G626" s="23">
        <f t="shared" si="426"/>
        <v>218.71868686868714</v>
      </c>
      <c r="H626" s="23">
        <f t="shared" si="426"/>
        <v>245.71388888888924</v>
      </c>
      <c r="I626" s="23">
        <f t="shared" si="426"/>
        <v>250.62816666666677</v>
      </c>
      <c r="J626" s="23">
        <f t="shared" si="426"/>
        <v>255.64073000000062</v>
      </c>
      <c r="K626" s="23">
        <f t="shared" si="426"/>
        <v>260.75354460000017</v>
      </c>
      <c r="L626" s="23">
        <f t="shared" si="426"/>
        <v>265.9686154919998</v>
      </c>
      <c r="M626" s="23">
        <f t="shared" si="426"/>
        <v>271.2879878018406</v>
      </c>
      <c r="N626" s="23">
        <f t="shared" si="426"/>
        <v>276.7137475578771</v>
      </c>
      <c r="O626" s="23">
        <f t="shared" si="426"/>
        <v>282.2480225090352</v>
      </c>
      <c r="P626" s="23">
        <f t="shared" si="426"/>
        <v>287.8929829592147</v>
      </c>
      <c r="Q626" s="1">
        <f>P626*(1+O$5)+P626*(1+O$5)*(1+O$5)/(P624-O$5)</f>
        <v>7781.747329387575</v>
      </c>
    </row>
    <row r="627" spans="1:17" ht="14.25" customHeight="1" hidden="1">
      <c r="A627" s="16"/>
      <c r="C627" s="21" t="s">
        <v>38</v>
      </c>
      <c r="D627" s="1"/>
      <c r="E627" s="1">
        <f aca="true" t="shared" si="427" ref="E627:Q627">E626*E625</f>
        <v>67.96092848018648</v>
      </c>
      <c r="F627" s="1">
        <f t="shared" si="427"/>
        <v>-65.7744963143194</v>
      </c>
      <c r="G627" s="29">
        <f t="shared" si="427"/>
        <v>183.6404270544536</v>
      </c>
      <c r="H627" s="1">
        <f t="shared" si="427"/>
        <v>194.62841435846022</v>
      </c>
      <c r="I627" s="1">
        <f t="shared" si="427"/>
        <v>187.28394589210302</v>
      </c>
      <c r="J627" s="1">
        <f t="shared" si="427"/>
        <v>180.21662717919384</v>
      </c>
      <c r="K627" s="1">
        <f t="shared" si="427"/>
        <v>173.41599973846922</v>
      </c>
      <c r="L627" s="1">
        <f t="shared" si="427"/>
        <v>166.87199974833808</v>
      </c>
      <c r="M627" s="29">
        <f t="shared" si="427"/>
        <v>160.57494315406163</v>
      </c>
      <c r="N627" s="1">
        <f t="shared" si="427"/>
        <v>154.51551133692706</v>
      </c>
      <c r="O627" s="1">
        <f t="shared" si="427"/>
        <v>148.6847373242131</v>
      </c>
      <c r="P627" s="1">
        <f t="shared" si="427"/>
        <v>143.0739925195252</v>
      </c>
      <c r="Q627" s="1">
        <f t="shared" si="427"/>
        <v>3648.3868092478933</v>
      </c>
    </row>
    <row r="628" spans="1:16" ht="14.25" customHeight="1">
      <c r="A628" s="16"/>
      <c r="B628" s="157" t="s">
        <v>89</v>
      </c>
      <c r="C628" s="156" t="s">
        <v>88</v>
      </c>
      <c r="D628" s="18">
        <f>SUM(E627:$Q627)/D625</f>
        <v>5343.479839719505</v>
      </c>
      <c r="E628" s="18">
        <f>SUM(F627:$Q627)/E625</f>
        <v>5592.050045913679</v>
      </c>
      <c r="F628" s="18">
        <f>SUM(G627:$Q627)/F625</f>
        <v>6001.477272727269</v>
      </c>
      <c r="G628" s="91">
        <f>SUM(H627:$Q627)/G625</f>
        <v>6142.847222222218</v>
      </c>
      <c r="H628" s="18">
        <f>SUM(I627:$Q627)/H625</f>
        <v>6265.704166666662</v>
      </c>
      <c r="I628" s="18">
        <f>SUM(J627:$Q627)/I625</f>
        <v>6391.0182499999955</v>
      </c>
      <c r="J628" s="18">
        <f>SUM(K627:$Q627)/J625</f>
        <v>6518.838614999995</v>
      </c>
      <c r="K628" s="18">
        <f>SUM(L627:$Q627)/K625</f>
        <v>6649.215387299994</v>
      </c>
      <c r="L628" s="18">
        <f>SUM(M627:$Q627)/L625</f>
        <v>6782.199695045994</v>
      </c>
      <c r="M628" s="91">
        <f>SUM(N627:$Q627)/M625</f>
        <v>6917.843688946913</v>
      </c>
      <c r="N628" s="18">
        <f>SUM(O627:$Q627)/N625</f>
        <v>7056.200562725851</v>
      </c>
      <c r="O628" s="18">
        <f>SUM(P627:$Q627)/O625</f>
        <v>7197.324573980369</v>
      </c>
      <c r="P628" s="18">
        <f>SUM(Q627:$Q627)/P625</f>
        <v>7341.271065459976</v>
      </c>
    </row>
    <row r="629" spans="1:16" ht="14.25" customHeight="1">
      <c r="A629" s="16"/>
      <c r="B629" s="4" t="s">
        <v>48</v>
      </c>
      <c r="C629" s="39" t="s">
        <v>90</v>
      </c>
      <c r="D629" s="38">
        <f aca="true" t="shared" si="428" ref="D629:P629">D628-D$62</f>
        <v>3843.4798397195073</v>
      </c>
      <c r="E629" s="38">
        <f t="shared" si="428"/>
        <v>4092.050045913681</v>
      </c>
      <c r="F629" s="38">
        <f t="shared" si="428"/>
        <v>4501.477272727271</v>
      </c>
      <c r="G629" s="38">
        <f t="shared" si="428"/>
        <v>4642.84722222222</v>
      </c>
      <c r="H629" s="38">
        <f t="shared" si="428"/>
        <v>4735.704166666664</v>
      </c>
      <c r="I629" s="38">
        <f t="shared" si="428"/>
        <v>4830.418249999997</v>
      </c>
      <c r="J629" s="38">
        <f t="shared" si="428"/>
        <v>4927.026614999997</v>
      </c>
      <c r="K629" s="38">
        <f t="shared" si="428"/>
        <v>5025.567147299997</v>
      </c>
      <c r="L629" s="38">
        <f t="shared" si="428"/>
        <v>5126.078490245996</v>
      </c>
      <c r="M629" s="38">
        <f t="shared" si="428"/>
        <v>5228.600060050914</v>
      </c>
      <c r="N629" s="38">
        <f t="shared" si="428"/>
        <v>5333.172061251933</v>
      </c>
      <c r="O629" s="38">
        <f t="shared" si="428"/>
        <v>5439.835502476972</v>
      </c>
      <c r="P629" s="38">
        <f t="shared" si="428"/>
        <v>5548.632212526511</v>
      </c>
    </row>
    <row r="630" spans="1:16" ht="14.25" customHeight="1">
      <c r="A630" s="16"/>
      <c r="B630" s="104"/>
      <c r="C630" s="92"/>
      <c r="D630" s="105"/>
      <c r="E630" s="105"/>
      <c r="F630" s="105"/>
      <c r="G630" s="50"/>
      <c r="H630" s="105"/>
      <c r="I630" s="105"/>
      <c r="J630" s="43"/>
      <c r="K630" s="43"/>
      <c r="L630" s="43"/>
      <c r="M630" s="102"/>
      <c r="N630" s="43"/>
      <c r="O630" s="43"/>
      <c r="P630" s="43"/>
    </row>
    <row r="631" spans="1:17" ht="14.25" customHeight="1" hidden="1">
      <c r="A631" s="16"/>
      <c r="B631" s="104"/>
      <c r="C631" s="4" t="s">
        <v>2</v>
      </c>
      <c r="D631" s="105">
        <f aca="true" t="shared" si="429" ref="D631:P631">D$49</f>
        <v>0.06</v>
      </c>
      <c r="E631" s="105">
        <f t="shared" si="429"/>
        <v>0.06</v>
      </c>
      <c r="F631" s="105">
        <f t="shared" si="429"/>
        <v>0.06</v>
      </c>
      <c r="G631" s="105">
        <f t="shared" si="429"/>
        <v>0.06</v>
      </c>
      <c r="H631" s="105">
        <f t="shared" si="429"/>
        <v>0.06</v>
      </c>
      <c r="I631" s="105">
        <f t="shared" si="429"/>
        <v>0.06</v>
      </c>
      <c r="J631" s="105">
        <f t="shared" si="429"/>
        <v>0.06</v>
      </c>
      <c r="K631" s="105">
        <f t="shared" si="429"/>
        <v>0.06</v>
      </c>
      <c r="L631" s="105">
        <f t="shared" si="429"/>
        <v>0.06</v>
      </c>
      <c r="M631" s="105">
        <f t="shared" si="429"/>
        <v>0.06</v>
      </c>
      <c r="N631" s="105">
        <f t="shared" si="429"/>
        <v>0.06</v>
      </c>
      <c r="O631" s="105">
        <f t="shared" si="429"/>
        <v>0.06</v>
      </c>
      <c r="P631" s="105">
        <f t="shared" si="429"/>
        <v>0.06</v>
      </c>
      <c r="Q631" s="49">
        <f>P631</f>
        <v>0.06</v>
      </c>
    </row>
    <row r="632" spans="1:17" ht="14.25" customHeight="1" hidden="1">
      <c r="A632" s="16"/>
      <c r="C632" s="158" t="s">
        <v>91</v>
      </c>
      <c r="D632" s="12">
        <v>1</v>
      </c>
      <c r="E632" s="12">
        <f>1/(1+D631)</f>
        <v>0.9433962264150942</v>
      </c>
      <c r="F632" s="12">
        <f aca="true" t="shared" si="430" ref="F632:Q632">E632/(1+E631)</f>
        <v>0.8899964400142398</v>
      </c>
      <c r="G632" s="98">
        <f t="shared" si="430"/>
        <v>0.8396192830323017</v>
      </c>
      <c r="H632" s="12">
        <f t="shared" si="430"/>
        <v>0.7920936632380204</v>
      </c>
      <c r="I632" s="12">
        <f t="shared" si="430"/>
        <v>0.747258172866057</v>
      </c>
      <c r="J632" s="12">
        <f t="shared" si="430"/>
        <v>0.7049605404396764</v>
      </c>
      <c r="K632" s="12">
        <f t="shared" si="430"/>
        <v>0.6650571136223362</v>
      </c>
      <c r="L632" s="12">
        <f t="shared" si="430"/>
        <v>0.6274123713418266</v>
      </c>
      <c r="M632" s="98">
        <f t="shared" si="430"/>
        <v>0.5918984635300251</v>
      </c>
      <c r="N632" s="12">
        <f t="shared" si="430"/>
        <v>0.558394776915118</v>
      </c>
      <c r="O632" s="12">
        <f t="shared" si="430"/>
        <v>0.5267875253916207</v>
      </c>
      <c r="P632" s="12">
        <f t="shared" si="430"/>
        <v>0.4969693635770006</v>
      </c>
      <c r="Q632" s="12">
        <f t="shared" si="430"/>
        <v>0.4688390222424534</v>
      </c>
    </row>
    <row r="633" spans="1:17" ht="14.25" customHeight="1" hidden="1">
      <c r="A633" s="45"/>
      <c r="B633" s="42"/>
      <c r="C633" s="39" t="s">
        <v>86</v>
      </c>
      <c r="D633" s="42"/>
      <c r="E633" s="23">
        <f>E622</f>
        <v>-17.961415811002382</v>
      </c>
      <c r="F633" s="23">
        <f aca="true" t="shared" si="431" ref="F633:P633">F622</f>
        <v>-163.90422405876927</v>
      </c>
      <c r="G633" s="23">
        <f t="shared" si="431"/>
        <v>128.71868686868712</v>
      </c>
      <c r="H633" s="23">
        <f t="shared" si="431"/>
        <v>185.7138888888893</v>
      </c>
      <c r="I633" s="23">
        <f t="shared" si="431"/>
        <v>189.42816666666687</v>
      </c>
      <c r="J633" s="23">
        <f t="shared" si="431"/>
        <v>193.21673000000047</v>
      </c>
      <c r="K633" s="23">
        <f t="shared" si="431"/>
        <v>197.08106460000025</v>
      </c>
      <c r="L633" s="23">
        <f t="shared" si="431"/>
        <v>201.0226858919999</v>
      </c>
      <c r="M633" s="23">
        <f t="shared" si="431"/>
        <v>205.04313960984058</v>
      </c>
      <c r="N633" s="23">
        <f t="shared" si="431"/>
        <v>209.14400240203722</v>
      </c>
      <c r="O633" s="23">
        <f t="shared" si="431"/>
        <v>213.32688245007856</v>
      </c>
      <c r="P633" s="23">
        <f t="shared" si="431"/>
        <v>217.59342009907886</v>
      </c>
      <c r="Q633" s="1">
        <f>P633*(1+O$5)+P633*(1+O$5)*(1+O$5)/(P631-O$5)</f>
        <v>5881.550145278103</v>
      </c>
    </row>
    <row r="634" spans="1:17" ht="14.25" customHeight="1" hidden="1">
      <c r="A634" s="16"/>
      <c r="C634" s="158" t="s">
        <v>54</v>
      </c>
      <c r="D634" s="1"/>
      <c r="E634" s="1">
        <f aca="true" t="shared" si="432" ref="E634:Q634">E633*E632</f>
        <v>-16.94473189717206</v>
      </c>
      <c r="F634" s="1">
        <f t="shared" si="432"/>
        <v>-145.87417591560097</v>
      </c>
      <c r="G634" s="29">
        <f t="shared" si="432"/>
        <v>108.07469158154642</v>
      </c>
      <c r="H634" s="1">
        <f t="shared" si="432"/>
        <v>147.10279456417902</v>
      </c>
      <c r="I634" s="1">
        <f t="shared" si="432"/>
        <v>141.5517457127004</v>
      </c>
      <c r="J634" s="1">
        <f t="shared" si="432"/>
        <v>136.21017040278736</v>
      </c>
      <c r="K634" s="1">
        <f t="shared" si="432"/>
        <v>131.07016397249336</v>
      </c>
      <c r="L634" s="1">
        <f t="shared" si="432"/>
        <v>126.12412004900281</v>
      </c>
      <c r="M634" s="29">
        <f t="shared" si="432"/>
        <v>121.36471929243706</v>
      </c>
      <c r="N634" s="1">
        <f t="shared" si="432"/>
        <v>116.78491856442047</v>
      </c>
      <c r="O634" s="1">
        <f t="shared" si="432"/>
        <v>112.37794050538604</v>
      </c>
      <c r="P634" s="1">
        <f t="shared" si="432"/>
        <v>108.13726350518215</v>
      </c>
      <c r="Q634" s="1">
        <f t="shared" si="432"/>
        <v>2757.500219382145</v>
      </c>
    </row>
    <row r="635" spans="1:16" ht="14.25" customHeight="1">
      <c r="A635" s="16"/>
      <c r="B635" s="157"/>
      <c r="C635" s="156" t="s">
        <v>92</v>
      </c>
      <c r="D635" s="52">
        <f>SUM(E634:$Q634)/D632</f>
        <v>3843.4798397195073</v>
      </c>
      <c r="E635" s="52">
        <f>SUM(F634:$Q634)/E632</f>
        <v>4092.0500459136806</v>
      </c>
      <c r="F635" s="52">
        <f>SUM(G634:$Q634)/F632</f>
        <v>4501.47727272727</v>
      </c>
      <c r="G635" s="159">
        <f>SUM(H634:$Q634)/G632</f>
        <v>4642.84722222222</v>
      </c>
      <c r="H635" s="52">
        <f>SUM(I634:$Q634)/H632</f>
        <v>4735.704166666664</v>
      </c>
      <c r="I635" s="52">
        <f>SUM(J634:$Q634)/I632</f>
        <v>4830.418249999997</v>
      </c>
      <c r="J635" s="52">
        <f>SUM(K634:$Q634)/J632</f>
        <v>4927.026614999997</v>
      </c>
      <c r="K635" s="52">
        <f>SUM(L634:$Q634)/K632</f>
        <v>5025.567147299996</v>
      </c>
      <c r="L635" s="52">
        <f>SUM(M634:$Q634)/L632</f>
        <v>5126.078490245996</v>
      </c>
      <c r="M635" s="159">
        <f>SUM(N634:$Q634)/M632</f>
        <v>5228.600060050915</v>
      </c>
      <c r="N635" s="52">
        <f>SUM(O634:$Q634)/N632</f>
        <v>5333.172061251934</v>
      </c>
      <c r="O635" s="52">
        <f>SUM(P634:$Q634)/O632</f>
        <v>5439.835502476972</v>
      </c>
      <c r="P635" s="52">
        <f>SUM(Q634:$Q634)/P632</f>
        <v>5548.6322125265115</v>
      </c>
    </row>
    <row r="636" ht="10.5">
      <c r="D636" s="6">
        <f>(D635+D629+D619+D612+D603+D598+D590+D582+D574+D566)/10</f>
        <v>3843.4798397195073</v>
      </c>
    </row>
    <row r="637" spans="2:17" ht="10.5">
      <c r="B637" s="104" t="s">
        <v>95</v>
      </c>
      <c r="C637" s="104" t="s">
        <v>95</v>
      </c>
      <c r="D637" s="104" t="s">
        <v>95</v>
      </c>
      <c r="E637" s="104" t="s">
        <v>95</v>
      </c>
      <c r="F637" s="104" t="s">
        <v>95</v>
      </c>
      <c r="G637" s="104" t="s">
        <v>95</v>
      </c>
      <c r="H637" s="104" t="s">
        <v>95</v>
      </c>
      <c r="I637" s="104" t="s">
        <v>95</v>
      </c>
      <c r="J637" s="104" t="s">
        <v>95</v>
      </c>
      <c r="K637" s="104" t="s">
        <v>95</v>
      </c>
      <c r="L637" s="104" t="s">
        <v>95</v>
      </c>
      <c r="M637" s="104" t="s">
        <v>95</v>
      </c>
      <c r="N637" s="104" t="s">
        <v>95</v>
      </c>
      <c r="O637" s="104" t="s">
        <v>95</v>
      </c>
      <c r="P637" s="104" t="s">
        <v>95</v>
      </c>
      <c r="Q637" s="104" t="s">
        <v>95</v>
      </c>
    </row>
    <row r="639" spans="1:41" s="7" customFormat="1" ht="15.75" customHeight="1">
      <c r="A639" s="55"/>
      <c r="B639" s="56"/>
      <c r="C639" s="56"/>
      <c r="D639" s="92"/>
      <c r="E639" s="61"/>
      <c r="F639" s="155" t="s">
        <v>101</v>
      </c>
      <c r="G639" s="62"/>
      <c r="H639" s="61"/>
      <c r="I639" s="61"/>
      <c r="J639" s="61"/>
      <c r="K639" s="61"/>
      <c r="L639" s="61"/>
      <c r="M639" s="61"/>
      <c r="N639" s="61"/>
      <c r="O639" s="61"/>
      <c r="P639" s="61"/>
      <c r="Q639" s="4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B639" s="56"/>
      <c r="AC639" s="56"/>
      <c r="AD639" s="56"/>
      <c r="AE639" s="56"/>
      <c r="AF639" s="56"/>
      <c r="AG639" s="56"/>
      <c r="AH639" s="56"/>
      <c r="AI639" s="56"/>
      <c r="AJ639" s="56"/>
      <c r="AK639" s="56"/>
      <c r="AL639" s="56"/>
      <c r="AM639" s="56"/>
      <c r="AN639" s="56"/>
      <c r="AO639" s="56"/>
    </row>
    <row r="640" spans="1:41" s="7" customFormat="1" ht="12" customHeight="1">
      <c r="A640" s="55"/>
      <c r="B640" s="56"/>
      <c r="C640" s="56"/>
      <c r="D640" s="92"/>
      <c r="E640" s="61"/>
      <c r="F640" s="61"/>
      <c r="G640" s="62"/>
      <c r="H640" s="61"/>
      <c r="I640" s="61"/>
      <c r="J640" s="61"/>
      <c r="K640" s="61"/>
      <c r="L640" s="61"/>
      <c r="M640" s="61"/>
      <c r="N640" s="61"/>
      <c r="O640" s="61"/>
      <c r="P640" s="61"/>
      <c r="Q640" s="4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B640" s="56"/>
      <c r="AC640" s="56"/>
      <c r="AD640" s="56"/>
      <c r="AE640" s="56"/>
      <c r="AF640" s="56"/>
      <c r="AG640" s="56"/>
      <c r="AH640" s="56"/>
      <c r="AI640" s="56"/>
      <c r="AJ640" s="56"/>
      <c r="AK640" s="56"/>
      <c r="AL640" s="56"/>
      <c r="AM640" s="56"/>
      <c r="AN640" s="56"/>
      <c r="AO640" s="56"/>
    </row>
    <row r="641" spans="1:17" ht="12" customHeight="1" thickBot="1">
      <c r="A641" s="16"/>
      <c r="B641"/>
      <c r="C641"/>
      <c r="D641" s="66">
        <v>0</v>
      </c>
      <c r="E641" s="66">
        <v>1</v>
      </c>
      <c r="F641" s="66">
        <f aca="true" t="shared" si="433" ref="F641:Q641">E641+1</f>
        <v>2</v>
      </c>
      <c r="G641" s="150">
        <f t="shared" si="433"/>
        <v>3</v>
      </c>
      <c r="H641" s="66">
        <f t="shared" si="433"/>
        <v>4</v>
      </c>
      <c r="I641" s="103">
        <f t="shared" si="433"/>
        <v>5</v>
      </c>
      <c r="J641" s="103">
        <f t="shared" si="433"/>
        <v>6</v>
      </c>
      <c r="K641" s="103">
        <f t="shared" si="433"/>
        <v>7</v>
      </c>
      <c r="L641" s="103">
        <f t="shared" si="433"/>
        <v>8</v>
      </c>
      <c r="M641" s="111">
        <f t="shared" si="433"/>
        <v>9</v>
      </c>
      <c r="N641" s="103">
        <f t="shared" si="433"/>
        <v>10</v>
      </c>
      <c r="O641" s="103">
        <f t="shared" si="433"/>
        <v>11</v>
      </c>
      <c r="P641" s="103">
        <f t="shared" si="433"/>
        <v>12</v>
      </c>
      <c r="Q641" s="103">
        <f t="shared" si="433"/>
        <v>13</v>
      </c>
    </row>
    <row r="642" spans="1:17" ht="12" customHeight="1">
      <c r="A642" s="16"/>
      <c r="C642" s="4" t="s">
        <v>35</v>
      </c>
      <c r="D642" s="43">
        <f>$D$1</f>
        <v>1</v>
      </c>
      <c r="E642" s="43">
        <f aca="true" t="shared" si="434" ref="E642:Q642">D642</f>
        <v>1</v>
      </c>
      <c r="F642" s="43">
        <f t="shared" si="434"/>
        <v>1</v>
      </c>
      <c r="G642" s="143">
        <f t="shared" si="434"/>
        <v>1</v>
      </c>
      <c r="H642" s="43">
        <f t="shared" si="434"/>
        <v>1</v>
      </c>
      <c r="I642" s="43">
        <f t="shared" si="434"/>
        <v>1</v>
      </c>
      <c r="J642" s="43">
        <f t="shared" si="434"/>
        <v>1</v>
      </c>
      <c r="K642" s="43">
        <f t="shared" si="434"/>
        <v>1</v>
      </c>
      <c r="L642" s="43">
        <f t="shared" si="434"/>
        <v>1</v>
      </c>
      <c r="M642" s="8">
        <f t="shared" si="434"/>
        <v>1</v>
      </c>
      <c r="N642" s="43">
        <f t="shared" si="434"/>
        <v>1</v>
      </c>
      <c r="O642" s="43">
        <f t="shared" si="434"/>
        <v>1</v>
      </c>
      <c r="P642" s="8">
        <f t="shared" si="434"/>
        <v>1</v>
      </c>
      <c r="Q642" s="161">
        <f t="shared" si="434"/>
        <v>1</v>
      </c>
    </row>
    <row r="643" spans="1:17" ht="12" customHeight="1">
      <c r="A643" s="16"/>
      <c r="C643" s="4" t="s">
        <v>2</v>
      </c>
      <c r="D643" s="11">
        <f>$D$2</f>
        <v>0.06</v>
      </c>
      <c r="E643" s="11">
        <f aca="true" t="shared" si="435" ref="E643:Q643">D643</f>
        <v>0.06</v>
      </c>
      <c r="F643" s="11">
        <f t="shared" si="435"/>
        <v>0.06</v>
      </c>
      <c r="G643" s="54">
        <f t="shared" si="435"/>
        <v>0.06</v>
      </c>
      <c r="H643" s="11">
        <f t="shared" si="435"/>
        <v>0.06</v>
      </c>
      <c r="I643" s="11">
        <f t="shared" si="435"/>
        <v>0.06</v>
      </c>
      <c r="J643" s="11">
        <f t="shared" si="435"/>
        <v>0.06</v>
      </c>
      <c r="K643" s="11">
        <f t="shared" si="435"/>
        <v>0.06</v>
      </c>
      <c r="L643" s="11">
        <f t="shared" si="435"/>
        <v>0.06</v>
      </c>
      <c r="M643" s="54">
        <f t="shared" si="435"/>
        <v>0.06</v>
      </c>
      <c r="N643" s="11">
        <f t="shared" si="435"/>
        <v>0.06</v>
      </c>
      <c r="O643" s="11">
        <f t="shared" si="435"/>
        <v>0.06</v>
      </c>
      <c r="P643" s="11">
        <f t="shared" si="435"/>
        <v>0.06</v>
      </c>
      <c r="Q643" s="11">
        <f t="shared" si="435"/>
        <v>0.06</v>
      </c>
    </row>
    <row r="644" spans="1:17" ht="12" customHeight="1">
      <c r="A644" s="16"/>
      <c r="C644" s="4" t="s">
        <v>115</v>
      </c>
      <c r="D644" s="11">
        <f>$D$3</f>
        <v>0.04</v>
      </c>
      <c r="E644" s="11">
        <f aca="true" t="shared" si="436" ref="E644:Q644">D644</f>
        <v>0.04</v>
      </c>
      <c r="F644" s="11">
        <f t="shared" si="436"/>
        <v>0.04</v>
      </c>
      <c r="G644" s="54">
        <f t="shared" si="436"/>
        <v>0.04</v>
      </c>
      <c r="H644" s="11">
        <f t="shared" si="436"/>
        <v>0.04</v>
      </c>
      <c r="I644" s="11">
        <f t="shared" si="436"/>
        <v>0.04</v>
      </c>
      <c r="J644" s="11">
        <f t="shared" si="436"/>
        <v>0.04</v>
      </c>
      <c r="K644" s="11">
        <f t="shared" si="436"/>
        <v>0.04</v>
      </c>
      <c r="L644" s="11">
        <f t="shared" si="436"/>
        <v>0.04</v>
      </c>
      <c r="M644" s="54">
        <f t="shared" si="436"/>
        <v>0.04</v>
      </c>
      <c r="N644" s="11">
        <f t="shared" si="436"/>
        <v>0.04</v>
      </c>
      <c r="O644" s="11">
        <f t="shared" si="436"/>
        <v>0.04</v>
      </c>
      <c r="P644" s="11">
        <f t="shared" si="436"/>
        <v>0.04</v>
      </c>
      <c r="Q644" s="11">
        <f t="shared" si="436"/>
        <v>0.04</v>
      </c>
    </row>
    <row r="645" spans="1:41" s="7" customFormat="1" ht="11.25" customHeight="1">
      <c r="A645" s="16"/>
      <c r="C645" s="7" t="s">
        <v>36</v>
      </c>
      <c r="D645" s="51">
        <f aca="true" t="shared" si="437" ref="D645:Q645">D643+D642*D644</f>
        <v>0.1</v>
      </c>
      <c r="E645" s="51">
        <f t="shared" si="437"/>
        <v>0.1</v>
      </c>
      <c r="F645" s="51">
        <f t="shared" si="437"/>
        <v>0.1</v>
      </c>
      <c r="G645" s="50">
        <f t="shared" si="437"/>
        <v>0.1</v>
      </c>
      <c r="H645" s="51">
        <f t="shared" si="437"/>
        <v>0.1</v>
      </c>
      <c r="I645" s="51">
        <f t="shared" si="437"/>
        <v>0.1</v>
      </c>
      <c r="J645" s="51">
        <f t="shared" si="437"/>
        <v>0.1</v>
      </c>
      <c r="K645" s="51">
        <f t="shared" si="437"/>
        <v>0.1</v>
      </c>
      <c r="L645" s="51">
        <f t="shared" si="437"/>
        <v>0.1</v>
      </c>
      <c r="M645" s="50">
        <f t="shared" si="437"/>
        <v>0.1</v>
      </c>
      <c r="N645" s="51">
        <f t="shared" si="437"/>
        <v>0.1</v>
      </c>
      <c r="O645" s="51">
        <f t="shared" si="437"/>
        <v>0.1</v>
      </c>
      <c r="P645" s="51">
        <f t="shared" si="437"/>
        <v>0.1</v>
      </c>
      <c r="Q645" s="51">
        <f t="shared" si="437"/>
        <v>0.1</v>
      </c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B645" s="56"/>
      <c r="AC645" s="56"/>
      <c r="AD645" s="56"/>
      <c r="AE645" s="56"/>
      <c r="AF645" s="56"/>
      <c r="AG645" s="56"/>
      <c r="AH645" s="56"/>
      <c r="AI645" s="56"/>
      <c r="AJ645" s="56"/>
      <c r="AK645" s="56"/>
      <c r="AL645" s="56"/>
      <c r="AM645" s="56"/>
      <c r="AN645" s="56"/>
      <c r="AO645" s="56"/>
    </row>
    <row r="646" spans="1:41" s="7" customFormat="1" ht="11.25" customHeight="1" hidden="1">
      <c r="A646" s="16"/>
      <c r="C646" s="21" t="s">
        <v>37</v>
      </c>
      <c r="D646" s="12">
        <v>1</v>
      </c>
      <c r="E646" s="85">
        <f aca="true" t="shared" si="438" ref="E646:Q646">D646/(1+D645)</f>
        <v>0.9090909090909091</v>
      </c>
      <c r="F646" s="85">
        <f t="shared" si="438"/>
        <v>0.8264462809917354</v>
      </c>
      <c r="G646" s="94">
        <f t="shared" si="438"/>
        <v>0.7513148009015777</v>
      </c>
      <c r="H646" s="85">
        <f t="shared" si="438"/>
        <v>0.6830134553650705</v>
      </c>
      <c r="I646" s="85">
        <f t="shared" si="438"/>
        <v>0.6209213230591549</v>
      </c>
      <c r="J646" s="85">
        <f t="shared" si="438"/>
        <v>0.5644739300537771</v>
      </c>
      <c r="K646" s="85">
        <f t="shared" si="438"/>
        <v>0.5131581182307065</v>
      </c>
      <c r="L646" s="85">
        <f t="shared" si="438"/>
        <v>0.4665073802097331</v>
      </c>
      <c r="M646" s="94">
        <f t="shared" si="438"/>
        <v>0.4240976183724846</v>
      </c>
      <c r="N646" s="85">
        <f t="shared" si="438"/>
        <v>0.3855432894295314</v>
      </c>
      <c r="O646" s="85">
        <f t="shared" si="438"/>
        <v>0.35049389948139215</v>
      </c>
      <c r="P646" s="85">
        <f t="shared" si="438"/>
        <v>0.31863081771035645</v>
      </c>
      <c r="Q646" s="85">
        <f t="shared" si="438"/>
        <v>0.2896643797366877</v>
      </c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B646" s="56"/>
      <c r="AC646" s="56"/>
      <c r="AD646" s="56"/>
      <c r="AE646" s="56"/>
      <c r="AF646" s="56"/>
      <c r="AG646" s="56"/>
      <c r="AH646" s="56"/>
      <c r="AI646" s="56"/>
      <c r="AJ646" s="56"/>
      <c r="AK646" s="56"/>
      <c r="AL646" s="56"/>
      <c r="AM646" s="56"/>
      <c r="AN646" s="56"/>
      <c r="AO646" s="56"/>
    </row>
    <row r="647" spans="3:17" ht="11.25" customHeight="1" hidden="1">
      <c r="C647" s="4" t="s">
        <v>31</v>
      </c>
      <c r="E647" s="5">
        <f>E$41</f>
        <v>243</v>
      </c>
      <c r="F647" s="5">
        <f aca="true" t="shared" si="439" ref="F647:P647">F$41</f>
        <v>107</v>
      </c>
      <c r="G647" s="5">
        <f t="shared" si="439"/>
        <v>416</v>
      </c>
      <c r="H647" s="5">
        <f t="shared" si="439"/>
        <v>448.6500000000001</v>
      </c>
      <c r="I647" s="5">
        <f t="shared" si="439"/>
        <v>457.6229999999999</v>
      </c>
      <c r="J647" s="5">
        <f t="shared" si="439"/>
        <v>466.7754600000002</v>
      </c>
      <c r="K647" s="5">
        <f t="shared" si="439"/>
        <v>476.1109691999999</v>
      </c>
      <c r="L647" s="5">
        <f t="shared" si="439"/>
        <v>485.63318858399964</v>
      </c>
      <c r="M647" s="5">
        <f t="shared" si="439"/>
        <v>495.3458523556802</v>
      </c>
      <c r="N647" s="5">
        <f t="shared" si="439"/>
        <v>505.2527694027938</v>
      </c>
      <c r="O647" s="5">
        <f t="shared" si="439"/>
        <v>515.35782479085</v>
      </c>
      <c r="P647" s="5">
        <f t="shared" si="439"/>
        <v>525.6649812866659</v>
      </c>
      <c r="Q647" s="162">
        <f>P647*(1+O$5)+P647*(1+O$5)*(1+O$5)/(P645-O$5)</f>
        <v>7372.451362545489</v>
      </c>
    </row>
    <row r="648" spans="3:17" ht="11.25" customHeight="1" hidden="1">
      <c r="C648" s="21" t="s">
        <v>38</v>
      </c>
      <c r="E648" s="5">
        <f>E646*E647</f>
        <v>220.9090909090909</v>
      </c>
      <c r="F648" s="5">
        <f aca="true" t="shared" si="440" ref="F648:Q648">F646*F647</f>
        <v>88.4297520661157</v>
      </c>
      <c r="G648" s="93">
        <f t="shared" si="440"/>
        <v>312.5469571750563</v>
      </c>
      <c r="H648" s="5">
        <f t="shared" si="440"/>
        <v>306.433986749539</v>
      </c>
      <c r="I648" s="5">
        <f t="shared" si="440"/>
        <v>284.1478786222996</v>
      </c>
      <c r="J648" s="5">
        <f t="shared" si="440"/>
        <v>263.4825783588597</v>
      </c>
      <c r="K648" s="5">
        <f t="shared" si="440"/>
        <v>244.32020902366978</v>
      </c>
      <c r="L648" s="5">
        <f t="shared" si="440"/>
        <v>226.55146654922092</v>
      </c>
      <c r="M648" s="93">
        <f t="shared" si="440"/>
        <v>210.07499625473238</v>
      </c>
      <c r="N648" s="5">
        <f t="shared" si="440"/>
        <v>194.79681470893362</v>
      </c>
      <c r="O648" s="5">
        <f t="shared" si="440"/>
        <v>180.6297736391931</v>
      </c>
      <c r="P648" s="5">
        <f t="shared" si="440"/>
        <v>167.49306282906957</v>
      </c>
      <c r="Q648" s="5">
        <f t="shared" si="440"/>
        <v>2135.536551070637</v>
      </c>
    </row>
    <row r="649" spans="1:41" s="77" customFormat="1" ht="11.25" customHeight="1" thickBot="1">
      <c r="A649" s="64"/>
      <c r="C649" s="78" t="s">
        <v>39</v>
      </c>
      <c r="D649" s="79">
        <f>SUM(E648:$Q648)/D646</f>
        <v>4835.353117956418</v>
      </c>
      <c r="E649" s="79">
        <f>SUM(F648:$Q648)/E646</f>
        <v>5075.888429752059</v>
      </c>
      <c r="F649" s="79">
        <f>SUM(G648:$Q648)/F646</f>
        <v>5476.477272727266</v>
      </c>
      <c r="G649" s="95">
        <f>SUM(H648:$Q648)/G646</f>
        <v>5608.124999999993</v>
      </c>
      <c r="H649" s="79">
        <f>SUM(I648:$Q648)/H646</f>
        <v>5720.287499999992</v>
      </c>
      <c r="I649" s="79">
        <f>SUM(J648:$Q648)/I646</f>
        <v>5834.693249999993</v>
      </c>
      <c r="J649" s="79">
        <f>SUM(K648:$Q648)/J646</f>
        <v>5951.387114999992</v>
      </c>
      <c r="K649" s="79">
        <f>SUM(L648:$Q648)/K646</f>
        <v>6070.414857299992</v>
      </c>
      <c r="L649" s="79">
        <f>SUM(M648:$Q648)/L646</f>
        <v>6191.823154445992</v>
      </c>
      <c r="M649" s="95">
        <f>SUM(N648:$Q648)/M646</f>
        <v>6315.659617534911</v>
      </c>
      <c r="N649" s="79">
        <f>SUM(O648:$Q648)/N646</f>
        <v>6441.972809885611</v>
      </c>
      <c r="O649" s="79">
        <f>SUM(P648:$Q648)/O646</f>
        <v>6570.812266083322</v>
      </c>
      <c r="P649" s="79">
        <f>SUM(Q648:$Q648)/P646</f>
        <v>6702.22851140499</v>
      </c>
      <c r="Q649" s="80"/>
      <c r="R649" s="56"/>
      <c r="S649" s="56"/>
      <c r="T649" s="56"/>
      <c r="U649" s="56"/>
      <c r="V649" s="56"/>
      <c r="W649" s="56"/>
      <c r="X649" s="56"/>
      <c r="Y649" s="56"/>
      <c r="Z649" s="56"/>
      <c r="AA649" s="56"/>
      <c r="AB649" s="56"/>
      <c r="AC649" s="56"/>
      <c r="AD649" s="56"/>
      <c r="AE649" s="56"/>
      <c r="AF649" s="56"/>
      <c r="AG649" s="56"/>
      <c r="AH649" s="56"/>
      <c r="AI649" s="56"/>
      <c r="AJ649" s="56"/>
      <c r="AK649" s="56"/>
      <c r="AL649" s="56"/>
      <c r="AM649" s="56"/>
      <c r="AN649" s="56"/>
      <c r="AO649" s="56"/>
    </row>
    <row r="650" spans="1:17" ht="10.5" hidden="1">
      <c r="A650" s="16"/>
      <c r="C650" s="6" t="s">
        <v>40</v>
      </c>
      <c r="D650" s="6"/>
      <c r="E650" s="44" t="e">
        <f>#REF!/#REF!-1</f>
        <v>#REF!</v>
      </c>
      <c r="F650" s="44" t="e">
        <f>#REF!/#REF!-1</f>
        <v>#REF!</v>
      </c>
      <c r="G650" s="30" t="e">
        <f>#REF!/#REF!-1</f>
        <v>#REF!</v>
      </c>
      <c r="H650" s="44" t="e">
        <f>#REF!/#REF!-1</f>
        <v>#REF!</v>
      </c>
      <c r="I650" s="44" t="e">
        <f>#REF!/#REF!-1</f>
        <v>#REF!</v>
      </c>
      <c r="J650" s="44" t="e">
        <f>#REF!/#REF!-1</f>
        <v>#REF!</v>
      </c>
      <c r="K650" s="44" t="e">
        <f>#REF!/#REF!-1</f>
        <v>#REF!</v>
      </c>
      <c r="L650" s="44" t="e">
        <f>#REF!/#REF!-1</f>
        <v>#REF!</v>
      </c>
      <c r="M650" s="30" t="e">
        <f>#REF!/#REF!-1</f>
        <v>#REF!</v>
      </c>
      <c r="N650" s="44" t="e">
        <f>#REF!/#REF!-1</f>
        <v>#REF!</v>
      </c>
      <c r="O650" s="44" t="e">
        <f>#REF!/#REF!-1</f>
        <v>#REF!</v>
      </c>
      <c r="P650" s="44" t="e">
        <f>#REF!/#REF!-1</f>
        <v>#REF!</v>
      </c>
      <c r="Q650" s="44" t="e">
        <f>Q649/#REF!-1</f>
        <v>#REF!</v>
      </c>
    </row>
    <row r="651" spans="1:17" ht="6.75" customHeight="1">
      <c r="A651" s="16"/>
      <c r="D651" s="1"/>
      <c r="E651" s="1"/>
      <c r="F651" s="1"/>
      <c r="G651" s="29"/>
      <c r="H651" s="1"/>
      <c r="I651" s="1"/>
      <c r="J651" s="3"/>
      <c r="K651" s="3"/>
      <c r="L651" s="3"/>
      <c r="M651" s="35"/>
      <c r="N651" s="3"/>
      <c r="O651" s="3"/>
      <c r="P651" s="3"/>
      <c r="Q651" s="3"/>
    </row>
    <row r="652" spans="1:17" ht="12.75" customHeight="1">
      <c r="A652" s="16"/>
      <c r="C652" s="4" t="s">
        <v>41</v>
      </c>
      <c r="D652" s="1">
        <f aca="true" t="shared" si="441" ref="D652:Q652">D$13</f>
        <v>1500</v>
      </c>
      <c r="E652" s="1">
        <f t="shared" si="441"/>
        <v>1500</v>
      </c>
      <c r="F652" s="1">
        <f t="shared" si="441"/>
        <v>1500</v>
      </c>
      <c r="G652" s="1">
        <f t="shared" si="441"/>
        <v>1500</v>
      </c>
      <c r="H652" s="1">
        <f t="shared" si="441"/>
        <v>1530</v>
      </c>
      <c r="I652" s="1">
        <f t="shared" si="441"/>
        <v>1560.6000000000001</v>
      </c>
      <c r="J652" s="1">
        <f t="shared" si="441"/>
        <v>1591.8120000000001</v>
      </c>
      <c r="K652" s="1">
        <f t="shared" si="441"/>
        <v>1623.6482400000002</v>
      </c>
      <c r="L652" s="1">
        <f t="shared" si="441"/>
        <v>1656.1212048000002</v>
      </c>
      <c r="M652" s="1">
        <f t="shared" si="441"/>
        <v>1689.2436288960002</v>
      </c>
      <c r="N652" s="1">
        <f t="shared" si="441"/>
        <v>1723.0285014739202</v>
      </c>
      <c r="O652" s="1">
        <f t="shared" si="441"/>
        <v>1757.4890715033987</v>
      </c>
      <c r="P652" s="1">
        <f t="shared" si="441"/>
        <v>1792.6388529334668</v>
      </c>
      <c r="Q652" s="1">
        <f t="shared" si="441"/>
        <v>1828.491629992136</v>
      </c>
    </row>
    <row r="653" spans="1:17" s="69" customFormat="1" ht="12.75" customHeight="1" hidden="1">
      <c r="A653" s="55"/>
      <c r="C653" s="21" t="s">
        <v>42</v>
      </c>
      <c r="D653" s="12">
        <v>1</v>
      </c>
      <c r="E653" s="85">
        <f aca="true" t="shared" si="442" ref="E653:Q653">D653/(1+D$64)</f>
        <v>0.9259259259259258</v>
      </c>
      <c r="F653" s="85">
        <f t="shared" si="442"/>
        <v>0.8573388203017831</v>
      </c>
      <c r="G653" s="85">
        <f t="shared" si="442"/>
        <v>0.7938322410201695</v>
      </c>
      <c r="H653" s="85">
        <f t="shared" si="442"/>
        <v>0.7350298527964532</v>
      </c>
      <c r="I653" s="85">
        <f t="shared" si="442"/>
        <v>0.6805831970337529</v>
      </c>
      <c r="J653" s="85">
        <f t="shared" si="442"/>
        <v>0.6301696268831045</v>
      </c>
      <c r="K653" s="85">
        <f t="shared" si="442"/>
        <v>0.5834903952621338</v>
      </c>
      <c r="L653" s="85">
        <f t="shared" si="442"/>
        <v>0.5402688845019756</v>
      </c>
      <c r="M653" s="85">
        <f t="shared" si="442"/>
        <v>0.5002489671314588</v>
      </c>
      <c r="N653" s="85">
        <f t="shared" si="442"/>
        <v>0.4631934880846841</v>
      </c>
      <c r="O653" s="85">
        <f t="shared" si="442"/>
        <v>0.4288828593376704</v>
      </c>
      <c r="P653" s="85">
        <f t="shared" si="442"/>
        <v>0.3971137586459911</v>
      </c>
      <c r="Q653" s="85">
        <f t="shared" si="442"/>
        <v>0.36769792467221396</v>
      </c>
    </row>
    <row r="654" spans="1:17" s="69" customFormat="1" ht="12.75" customHeight="1" hidden="1">
      <c r="A654" s="55"/>
      <c r="C654" s="4" t="s">
        <v>32</v>
      </c>
      <c r="D654" s="86"/>
      <c r="E654" s="102">
        <f>E$42</f>
        <v>120</v>
      </c>
      <c r="F654" s="102">
        <f aca="true" t="shared" si="443" ref="F654:P654">F$42</f>
        <v>120</v>
      </c>
      <c r="G654" s="102">
        <f t="shared" si="443"/>
        <v>120</v>
      </c>
      <c r="H654" s="102">
        <f t="shared" si="443"/>
        <v>90</v>
      </c>
      <c r="I654" s="102">
        <f t="shared" si="443"/>
        <v>91.79999999999987</v>
      </c>
      <c r="J654" s="102">
        <f t="shared" si="443"/>
        <v>93.63600000000002</v>
      </c>
      <c r="K654" s="102">
        <f t="shared" si="443"/>
        <v>95.50871999999993</v>
      </c>
      <c r="L654" s="102">
        <f t="shared" si="443"/>
        <v>97.41889440000003</v>
      </c>
      <c r="M654" s="102">
        <f t="shared" si="443"/>
        <v>99.36727228799998</v>
      </c>
      <c r="N654" s="102">
        <f t="shared" si="443"/>
        <v>101.35461773376008</v>
      </c>
      <c r="O654" s="102">
        <f t="shared" si="443"/>
        <v>103.38171008843511</v>
      </c>
      <c r="P654" s="102">
        <f t="shared" si="443"/>
        <v>105.44934429020384</v>
      </c>
      <c r="Q654" s="162">
        <f>P654*(1+O$5)+P654*(1+O$5)*(1+O$5)/(P658-O$5)</f>
        <v>1936.0499611681423</v>
      </c>
    </row>
    <row r="655" spans="1:17" s="69" customFormat="1" ht="12.75" customHeight="1" hidden="1">
      <c r="A655" s="55"/>
      <c r="C655" s="21" t="s">
        <v>43</v>
      </c>
      <c r="D655" s="86"/>
      <c r="E655" s="87">
        <f aca="true" t="shared" si="444" ref="E655:Q655">E654*E653</f>
        <v>111.1111111111111</v>
      </c>
      <c r="F655" s="87">
        <f t="shared" si="444"/>
        <v>102.88065843621398</v>
      </c>
      <c r="G655" s="94">
        <f t="shared" si="444"/>
        <v>95.25986892242034</v>
      </c>
      <c r="H655" s="87">
        <f t="shared" si="444"/>
        <v>66.15268675168079</v>
      </c>
      <c r="I655" s="87">
        <f t="shared" si="444"/>
        <v>62.47753748769843</v>
      </c>
      <c r="J655" s="87">
        <f t="shared" si="444"/>
        <v>59.00656318282639</v>
      </c>
      <c r="K655" s="87">
        <f t="shared" si="444"/>
        <v>55.728420783780415</v>
      </c>
      <c r="L655" s="87">
        <f t="shared" si="444"/>
        <v>52.63239740690378</v>
      </c>
      <c r="M655" s="94">
        <f t="shared" si="444"/>
        <v>49.70837532874242</v>
      </c>
      <c r="N655" s="87">
        <f t="shared" si="444"/>
        <v>46.94679892159011</v>
      </c>
      <c r="O655" s="87">
        <f t="shared" si="444"/>
        <v>44.33864342594614</v>
      </c>
      <c r="P655" s="87">
        <f t="shared" si="444"/>
        <v>41.87538545783802</v>
      </c>
      <c r="Q655" s="87">
        <f t="shared" si="444"/>
        <v>711.8815527832463</v>
      </c>
    </row>
    <row r="656" spans="1:17" ht="12.75" customHeight="1" thickBot="1">
      <c r="A656" s="64"/>
      <c r="B656" s="65"/>
      <c r="C656" s="119" t="s">
        <v>44</v>
      </c>
      <c r="D656" s="79">
        <f>SUM(E655:$Q655)/D653</f>
        <v>1499.9999999999982</v>
      </c>
      <c r="E656" s="79">
        <f>SUM(F655:$Q655)/E653</f>
        <v>1499.9999999999982</v>
      </c>
      <c r="F656" s="79">
        <f>SUM(G655:$Q655)/F653</f>
        <v>1499.9999999999982</v>
      </c>
      <c r="G656" s="95">
        <f>SUM(H655:$Q655)/G653</f>
        <v>1499.9999999999982</v>
      </c>
      <c r="H656" s="79">
        <f>SUM(I655:$Q655)/H653</f>
        <v>1529.9999999999984</v>
      </c>
      <c r="I656" s="79">
        <f>SUM(J655:$Q655)/I653</f>
        <v>1560.5999999999983</v>
      </c>
      <c r="J656" s="79">
        <f>SUM(K655:$Q655)/J653</f>
        <v>1591.811999999998</v>
      </c>
      <c r="K656" s="79">
        <f>SUM(L655:$Q655)/K653</f>
        <v>1623.6482399999982</v>
      </c>
      <c r="L656" s="79">
        <f>SUM(M655:$Q655)/L653</f>
        <v>1656.1212047999982</v>
      </c>
      <c r="M656" s="95">
        <f>SUM(N655:$Q655)/M653</f>
        <v>1689.2436288959984</v>
      </c>
      <c r="N656" s="79">
        <f>SUM(O655:$Q655)/N653</f>
        <v>1723.0285014739184</v>
      </c>
      <c r="O656" s="79">
        <f>SUM(P655:$Q655)/O653</f>
        <v>1757.4890715033969</v>
      </c>
      <c r="P656" s="79">
        <f>SUM(Q655:$Q655)/P653</f>
        <v>1792.638852933465</v>
      </c>
      <c r="Q656" s="67"/>
    </row>
    <row r="657" spans="1:17" ht="12" customHeight="1">
      <c r="A657" s="16"/>
      <c r="C657" s="7" t="s">
        <v>4</v>
      </c>
      <c r="D657" s="51">
        <f>$D$4</f>
        <v>0.08</v>
      </c>
      <c r="E657" s="139">
        <f aca="true" t="shared" si="445" ref="E657:Q657">D657</f>
        <v>0.08</v>
      </c>
      <c r="F657" s="139">
        <f t="shared" si="445"/>
        <v>0.08</v>
      </c>
      <c r="G657" s="140">
        <f t="shared" si="445"/>
        <v>0.08</v>
      </c>
      <c r="H657" s="139">
        <f t="shared" si="445"/>
        <v>0.08</v>
      </c>
      <c r="I657" s="139">
        <f t="shared" si="445"/>
        <v>0.08</v>
      </c>
      <c r="J657" s="139">
        <f t="shared" si="445"/>
        <v>0.08</v>
      </c>
      <c r="K657" s="139">
        <f t="shared" si="445"/>
        <v>0.08</v>
      </c>
      <c r="L657" s="139">
        <f t="shared" si="445"/>
        <v>0.08</v>
      </c>
      <c r="M657" s="140">
        <f t="shared" si="445"/>
        <v>0.08</v>
      </c>
      <c r="N657" s="139">
        <f t="shared" si="445"/>
        <v>0.08</v>
      </c>
      <c r="O657" s="139">
        <f t="shared" si="445"/>
        <v>0.08</v>
      </c>
      <c r="P657" s="139">
        <f t="shared" si="445"/>
        <v>0.08</v>
      </c>
      <c r="Q657" s="139">
        <f t="shared" si="445"/>
        <v>0.08</v>
      </c>
    </row>
    <row r="658" spans="1:41" s="107" customFormat="1" ht="12" customHeight="1">
      <c r="A658" s="16"/>
      <c r="C658" s="107" t="s">
        <v>5</v>
      </c>
      <c r="D658" s="51">
        <f>$D$5</f>
        <v>0.08</v>
      </c>
      <c r="E658" s="51">
        <f aca="true" t="shared" si="446" ref="E658:Q658">D658</f>
        <v>0.08</v>
      </c>
      <c r="F658" s="51">
        <f t="shared" si="446"/>
        <v>0.08</v>
      </c>
      <c r="G658" s="50">
        <f t="shared" si="446"/>
        <v>0.08</v>
      </c>
      <c r="H658" s="51">
        <f t="shared" si="446"/>
        <v>0.08</v>
      </c>
      <c r="I658" s="51">
        <f t="shared" si="446"/>
        <v>0.08</v>
      </c>
      <c r="J658" s="51">
        <f t="shared" si="446"/>
        <v>0.08</v>
      </c>
      <c r="K658" s="51">
        <f t="shared" si="446"/>
        <v>0.08</v>
      </c>
      <c r="L658" s="51">
        <f t="shared" si="446"/>
        <v>0.08</v>
      </c>
      <c r="M658" s="50">
        <f t="shared" si="446"/>
        <v>0.08</v>
      </c>
      <c r="N658" s="51">
        <f t="shared" si="446"/>
        <v>0.08</v>
      </c>
      <c r="O658" s="51">
        <f t="shared" si="446"/>
        <v>0.08</v>
      </c>
      <c r="P658" s="51">
        <f t="shared" si="446"/>
        <v>0.08</v>
      </c>
      <c r="Q658" s="51">
        <f t="shared" si="446"/>
        <v>0.08</v>
      </c>
      <c r="R658" s="106"/>
      <c r="S658" s="106"/>
      <c r="T658" s="106"/>
      <c r="U658" s="106"/>
      <c r="V658" s="106"/>
      <c r="W658" s="106"/>
      <c r="X658" s="106"/>
      <c r="Y658" s="106"/>
      <c r="Z658" s="106"/>
      <c r="AA658" s="106"/>
      <c r="AB658" s="106"/>
      <c r="AC658" s="106"/>
      <c r="AD658" s="106"/>
      <c r="AE658" s="106"/>
      <c r="AF658" s="106"/>
      <c r="AG658" s="106"/>
      <c r="AH658" s="106"/>
      <c r="AI658" s="106"/>
      <c r="AJ658" s="106"/>
      <c r="AK658" s="106"/>
      <c r="AL658" s="106"/>
      <c r="AM658" s="106"/>
      <c r="AN658" s="106"/>
      <c r="AO658" s="106"/>
    </row>
    <row r="659" spans="1:41" s="42" customFormat="1" ht="12" customHeight="1">
      <c r="A659" s="45"/>
      <c r="C659" s="42" t="s">
        <v>45</v>
      </c>
      <c r="D659" s="81">
        <f aca="true" t="shared" si="447" ref="D659:Q659">(D658-D643)/D644</f>
        <v>0.5000000000000001</v>
      </c>
      <c r="E659" s="81">
        <f t="shared" si="447"/>
        <v>0.5000000000000001</v>
      </c>
      <c r="F659" s="81">
        <f t="shared" si="447"/>
        <v>0.5000000000000001</v>
      </c>
      <c r="G659" s="144">
        <f t="shared" si="447"/>
        <v>0.5000000000000001</v>
      </c>
      <c r="H659" s="81">
        <f t="shared" si="447"/>
        <v>0.5000000000000001</v>
      </c>
      <c r="I659" s="81">
        <f t="shared" si="447"/>
        <v>0.5000000000000001</v>
      </c>
      <c r="J659" s="82">
        <f t="shared" si="447"/>
        <v>0.5000000000000001</v>
      </c>
      <c r="K659" s="82">
        <f t="shared" si="447"/>
        <v>0.5000000000000001</v>
      </c>
      <c r="L659" s="82">
        <f t="shared" si="447"/>
        <v>0.5000000000000001</v>
      </c>
      <c r="M659" s="83">
        <f t="shared" si="447"/>
        <v>0.5000000000000001</v>
      </c>
      <c r="N659" s="82">
        <f t="shared" si="447"/>
        <v>0.5000000000000001</v>
      </c>
      <c r="O659" s="82">
        <f t="shared" si="447"/>
        <v>0.5000000000000001</v>
      </c>
      <c r="P659" s="82">
        <f t="shared" si="447"/>
        <v>0.5000000000000001</v>
      </c>
      <c r="Q659" s="84">
        <f t="shared" si="447"/>
        <v>0.5000000000000001</v>
      </c>
      <c r="R659" s="69"/>
      <c r="S659" s="69"/>
      <c r="T659" s="69"/>
      <c r="U659" s="69"/>
      <c r="V659" s="69"/>
      <c r="W659" s="69"/>
      <c r="X659" s="69"/>
      <c r="Y659" s="69"/>
      <c r="Z659" s="69"/>
      <c r="AA659" s="69"/>
      <c r="AB659" s="69"/>
      <c r="AC659" s="69"/>
      <c r="AD659" s="69"/>
      <c r="AE659" s="69"/>
      <c r="AF659" s="69"/>
      <c r="AG659" s="69"/>
      <c r="AH659" s="69"/>
      <c r="AI659" s="69"/>
      <c r="AJ659" s="69"/>
      <c r="AK659" s="69"/>
      <c r="AL659" s="69"/>
      <c r="AM659" s="69"/>
      <c r="AN659" s="69"/>
      <c r="AO659" s="69"/>
    </row>
    <row r="660" spans="1:17" ht="9.75" customHeight="1">
      <c r="A660" s="16"/>
      <c r="D660"/>
      <c r="E660" s="43"/>
      <c r="F660" s="43"/>
      <c r="G660" s="143"/>
      <c r="H660" s="43"/>
      <c r="I660" s="43"/>
      <c r="J660" s="2"/>
      <c r="K660" s="2"/>
      <c r="L660" s="2"/>
      <c r="M660" s="8"/>
      <c r="N660" s="2"/>
      <c r="O660" s="2"/>
      <c r="P660" s="2"/>
      <c r="Q660" s="2"/>
    </row>
    <row r="661" spans="1:17" ht="9.75" customHeight="1" hidden="1">
      <c r="A661" s="16"/>
      <c r="C661" s="21" t="s">
        <v>46</v>
      </c>
      <c r="D661" s="43"/>
      <c r="E661" s="43">
        <f aca="true" t="shared" si="448" ref="E661:P661">D656*D645*$H$3+$F$1*(D652*D657-D656*D658)</f>
        <v>52.499999999999986</v>
      </c>
      <c r="F661" s="43">
        <f t="shared" si="448"/>
        <v>52.499999999999986</v>
      </c>
      <c r="G661" s="143">
        <f t="shared" si="448"/>
        <v>52.499999999999986</v>
      </c>
      <c r="H661" s="43">
        <f t="shared" si="448"/>
        <v>52.499999999999986</v>
      </c>
      <c r="I661" s="43">
        <f t="shared" si="448"/>
        <v>53.54999999999999</v>
      </c>
      <c r="J661" s="43">
        <f t="shared" si="448"/>
        <v>54.62099999999999</v>
      </c>
      <c r="K661" s="43">
        <f t="shared" si="448"/>
        <v>55.71341999999999</v>
      </c>
      <c r="L661" s="43">
        <f t="shared" si="448"/>
        <v>56.82768839999999</v>
      </c>
      <c r="M661" s="43">
        <f t="shared" si="448"/>
        <v>57.96424216799999</v>
      </c>
      <c r="N661" s="43">
        <f t="shared" si="448"/>
        <v>59.12352701135999</v>
      </c>
      <c r="O661" s="43">
        <f t="shared" si="448"/>
        <v>60.30599755158719</v>
      </c>
      <c r="P661" s="43">
        <f t="shared" si="448"/>
        <v>61.51211750261894</v>
      </c>
      <c r="Q661" s="162">
        <f>P661*(1+O$5)+P661*(1+O$5)*(1+O$5)/(P645-O$5)</f>
        <v>862.7074479742307</v>
      </c>
    </row>
    <row r="662" spans="3:17" ht="9.75" customHeight="1" hidden="1">
      <c r="C662" s="21" t="s">
        <v>47</v>
      </c>
      <c r="E662" s="5">
        <f>E646*E661</f>
        <v>47.72727272727271</v>
      </c>
      <c r="F662" s="5">
        <f aca="true" t="shared" si="449" ref="F662:Q662">F646*F661</f>
        <v>43.3884297520661</v>
      </c>
      <c r="G662" s="93">
        <f t="shared" si="449"/>
        <v>39.44402704733282</v>
      </c>
      <c r="H662" s="5">
        <f t="shared" si="449"/>
        <v>35.85820640666619</v>
      </c>
      <c r="I662" s="5">
        <f t="shared" si="449"/>
        <v>33.25033684981774</v>
      </c>
      <c r="J662" s="5">
        <f t="shared" si="449"/>
        <v>30.832130533467353</v>
      </c>
      <c r="K662" s="5">
        <f t="shared" si="449"/>
        <v>28.589793767397</v>
      </c>
      <c r="L662" s="5">
        <f t="shared" si="449"/>
        <v>26.510536038859037</v>
      </c>
      <c r="M662" s="93">
        <f t="shared" si="449"/>
        <v>24.58249705421474</v>
      </c>
      <c r="N662" s="5">
        <f t="shared" si="449"/>
        <v>22.794679086635483</v>
      </c>
      <c r="O662" s="5">
        <f t="shared" si="449"/>
        <v>21.136884243971082</v>
      </c>
      <c r="P662" s="5">
        <f t="shared" si="449"/>
        <v>19.599656298955004</v>
      </c>
      <c r="Q662" s="5">
        <f t="shared" si="449"/>
        <v>249.8956178116763</v>
      </c>
    </row>
    <row r="663" spans="1:17" ht="9.75" customHeight="1">
      <c r="A663" s="16"/>
      <c r="C663" s="158" t="s">
        <v>114</v>
      </c>
      <c r="D663" s="70">
        <v>0</v>
      </c>
      <c r="E663" s="70">
        <v>0</v>
      </c>
      <c r="F663" s="70">
        <v>0</v>
      </c>
      <c r="G663" s="70">
        <v>0</v>
      </c>
      <c r="H663" s="70">
        <v>0</v>
      </c>
      <c r="I663" s="70">
        <v>0</v>
      </c>
      <c r="J663" s="70">
        <v>0</v>
      </c>
      <c r="K663" s="70">
        <v>0</v>
      </c>
      <c r="L663" s="70">
        <v>0</v>
      </c>
      <c r="M663" s="70">
        <v>0</v>
      </c>
      <c r="N663" s="70">
        <v>0</v>
      </c>
      <c r="O663" s="70">
        <v>0</v>
      </c>
      <c r="P663" s="70">
        <v>0</v>
      </c>
      <c r="Q663" s="70">
        <v>0</v>
      </c>
    </row>
    <row r="664" spans="1:17" ht="12" customHeight="1">
      <c r="A664" s="16"/>
      <c r="C664" s="21" t="s">
        <v>103</v>
      </c>
      <c r="D664" s="1">
        <f aca="true" t="shared" si="450" ref="D664:P664">D663+D649</f>
        <v>4835.353117956418</v>
      </c>
      <c r="E664" s="1">
        <f t="shared" si="450"/>
        <v>5075.888429752059</v>
      </c>
      <c r="F664" s="1">
        <f t="shared" si="450"/>
        <v>5476.477272727266</v>
      </c>
      <c r="G664" s="29">
        <f t="shared" si="450"/>
        <v>5608.124999999993</v>
      </c>
      <c r="H664" s="1">
        <f t="shared" si="450"/>
        <v>5720.287499999992</v>
      </c>
      <c r="I664" s="1">
        <f t="shared" si="450"/>
        <v>5834.693249999993</v>
      </c>
      <c r="J664" s="1">
        <f t="shared" si="450"/>
        <v>5951.387114999992</v>
      </c>
      <c r="K664" s="1">
        <f t="shared" si="450"/>
        <v>6070.414857299992</v>
      </c>
      <c r="L664" s="1">
        <f t="shared" si="450"/>
        <v>6191.823154445992</v>
      </c>
      <c r="M664" s="29">
        <f t="shared" si="450"/>
        <v>6315.659617534911</v>
      </c>
      <c r="N664" s="1">
        <f t="shared" si="450"/>
        <v>6441.972809885611</v>
      </c>
      <c r="O664" s="1">
        <f t="shared" si="450"/>
        <v>6570.812266083322</v>
      </c>
      <c r="P664" s="1">
        <f t="shared" si="450"/>
        <v>6702.22851140499</v>
      </c>
      <c r="Q664" s="1"/>
    </row>
    <row r="665" spans="1:41" s="65" customFormat="1" ht="12" customHeight="1" thickBot="1">
      <c r="A665" s="64"/>
      <c r="B665" s="65" t="s">
        <v>48</v>
      </c>
      <c r="C665" s="77" t="s">
        <v>49</v>
      </c>
      <c r="D665" s="112">
        <f aca="true" t="shared" si="451" ref="D665:P665">D664-D656</f>
        <v>3335.3531179564197</v>
      </c>
      <c r="E665" s="79">
        <f t="shared" si="451"/>
        <v>3575.888429752061</v>
      </c>
      <c r="F665" s="79">
        <f t="shared" si="451"/>
        <v>3976.4772727272675</v>
      </c>
      <c r="G665" s="95">
        <f t="shared" si="451"/>
        <v>4108.1249999999945</v>
      </c>
      <c r="H665" s="79">
        <f t="shared" si="451"/>
        <v>4190.287499999994</v>
      </c>
      <c r="I665" s="79">
        <f t="shared" si="451"/>
        <v>4274.093249999994</v>
      </c>
      <c r="J665" s="79">
        <f t="shared" si="451"/>
        <v>4359.575114999994</v>
      </c>
      <c r="K665" s="79">
        <f t="shared" si="451"/>
        <v>4446.766617299994</v>
      </c>
      <c r="L665" s="79">
        <f t="shared" si="451"/>
        <v>4535.701949645994</v>
      </c>
      <c r="M665" s="95">
        <f t="shared" si="451"/>
        <v>4626.415988638913</v>
      </c>
      <c r="N665" s="79">
        <f t="shared" si="451"/>
        <v>4718.944308411693</v>
      </c>
      <c r="O665" s="79">
        <f t="shared" si="451"/>
        <v>4813.323194579925</v>
      </c>
      <c r="P665" s="79">
        <f t="shared" si="451"/>
        <v>4909.589658471525</v>
      </c>
      <c r="Q665" s="79"/>
      <c r="R665" s="69"/>
      <c r="S665" s="69"/>
      <c r="T665" s="69"/>
      <c r="U665" s="69"/>
      <c r="V665" s="69"/>
      <c r="W665" s="69"/>
      <c r="X665" s="69"/>
      <c r="Y665" s="69"/>
      <c r="Z665" s="69"/>
      <c r="AA665" s="69"/>
      <c r="AB665" s="69"/>
      <c r="AC665" s="69"/>
      <c r="AD665" s="69"/>
      <c r="AE665" s="69"/>
      <c r="AF665" s="69"/>
      <c r="AG665" s="69"/>
      <c r="AH665" s="69"/>
      <c r="AI665" s="69"/>
      <c r="AJ665" s="69"/>
      <c r="AK665" s="69"/>
      <c r="AL665" s="69"/>
      <c r="AM665" s="69"/>
      <c r="AN665" s="69"/>
      <c r="AO665" s="69"/>
    </row>
    <row r="666" spans="1:17" ht="10.5" hidden="1">
      <c r="A666" s="16"/>
      <c r="C666" s="6" t="s">
        <v>50</v>
      </c>
      <c r="D666" s="6"/>
      <c r="E666" s="44">
        <f aca="true" t="shared" si="452" ref="E666:Q666">E665/D665-1</f>
        <v>0.0721168953597986</v>
      </c>
      <c r="F666" s="44">
        <f t="shared" si="452"/>
        <v>0.1120249836774081</v>
      </c>
      <c r="G666" s="30">
        <f t="shared" si="452"/>
        <v>0.033106621324264784</v>
      </c>
      <c r="H666" s="44">
        <f t="shared" si="452"/>
        <v>0.019999999999999796</v>
      </c>
      <c r="I666" s="44">
        <f t="shared" si="452"/>
        <v>0.02000000000000024</v>
      </c>
      <c r="J666" s="44">
        <f t="shared" si="452"/>
        <v>0.020000000000000018</v>
      </c>
      <c r="K666" s="44">
        <f t="shared" si="452"/>
        <v>0.020000000000000018</v>
      </c>
      <c r="L666" s="44">
        <f t="shared" si="452"/>
        <v>0.020000000000000018</v>
      </c>
      <c r="M666" s="30">
        <f t="shared" si="452"/>
        <v>0.019999999999999796</v>
      </c>
      <c r="N666" s="44">
        <f t="shared" si="452"/>
        <v>0.02000000000000024</v>
      </c>
      <c r="O666" s="44">
        <f t="shared" si="452"/>
        <v>0.019999999999999796</v>
      </c>
      <c r="P666" s="44">
        <f t="shared" si="452"/>
        <v>0.02000000000000024</v>
      </c>
      <c r="Q666" s="44">
        <f t="shared" si="452"/>
        <v>-1</v>
      </c>
    </row>
    <row r="667" spans="1:17" ht="9" customHeight="1">
      <c r="A667" s="16"/>
      <c r="C667" s="6"/>
      <c r="D667" s="6"/>
      <c r="E667" s="6"/>
      <c r="F667" s="6"/>
      <c r="G667" s="145"/>
      <c r="H667" s="6"/>
      <c r="I667" s="6"/>
      <c r="J667" s="6"/>
      <c r="K667" s="6"/>
      <c r="L667" s="6"/>
      <c r="M667" s="30"/>
      <c r="N667" s="6"/>
      <c r="O667" s="6"/>
      <c r="P667" s="6"/>
      <c r="Q667" s="44"/>
    </row>
    <row r="668" spans="1:17" ht="12.75" customHeight="1">
      <c r="A668" s="16"/>
      <c r="C668" s="4" t="s">
        <v>51</v>
      </c>
      <c r="D668" s="12">
        <f aca="true" t="shared" si="453" ref="D668:P668">D642+(D656/D665)*(D642-D659)+(D656/D665)*E$30*D658/D644</f>
        <v>1.5396729930361506</v>
      </c>
      <c r="E668" s="12">
        <f t="shared" si="453"/>
        <v>1.5033714097519544</v>
      </c>
      <c r="F668" s="12">
        <f t="shared" si="453"/>
        <v>1.4526619609636213</v>
      </c>
      <c r="G668" s="12">
        <f t="shared" si="453"/>
        <v>1.4381560931081698</v>
      </c>
      <c r="H668" s="12">
        <f t="shared" si="453"/>
        <v>1.4381560931081698</v>
      </c>
      <c r="I668" s="12">
        <f t="shared" si="453"/>
        <v>1.4381560931081698</v>
      </c>
      <c r="J668" s="12">
        <f t="shared" si="453"/>
        <v>1.4381560931081698</v>
      </c>
      <c r="K668" s="12">
        <f t="shared" si="453"/>
        <v>1.4381560931081698</v>
      </c>
      <c r="L668" s="12">
        <f t="shared" si="453"/>
        <v>1.4381560931081698</v>
      </c>
      <c r="M668" s="12">
        <f t="shared" si="453"/>
        <v>1.4381560931081698</v>
      </c>
      <c r="N668" s="12">
        <f t="shared" si="453"/>
        <v>1.4381560931081698</v>
      </c>
      <c r="O668" s="12">
        <f t="shared" si="453"/>
        <v>1.4381560931081698</v>
      </c>
      <c r="P668" s="12">
        <f t="shared" si="453"/>
        <v>1.4381560931081698</v>
      </c>
      <c r="Q668" s="12"/>
    </row>
    <row r="669" spans="1:41" s="7" customFormat="1" ht="12.75" customHeight="1">
      <c r="A669" s="16"/>
      <c r="C669" s="7" t="s">
        <v>52</v>
      </c>
      <c r="D669" s="51">
        <f>D643+D644*D668</f>
        <v>0.12158691972144603</v>
      </c>
      <c r="E669" s="51">
        <f>E643+E644*E668</f>
        <v>0.12013485639007818</v>
      </c>
      <c r="F669" s="51">
        <f aca="true" t="shared" si="454" ref="F669:P669">F643+F644*F668</f>
        <v>0.11810647843854485</v>
      </c>
      <c r="G669" s="50">
        <f t="shared" si="454"/>
        <v>0.1175262437243268</v>
      </c>
      <c r="H669" s="51">
        <f t="shared" si="454"/>
        <v>0.1175262437243268</v>
      </c>
      <c r="I669" s="51">
        <f t="shared" si="454"/>
        <v>0.1175262437243268</v>
      </c>
      <c r="J669" s="51">
        <f t="shared" si="454"/>
        <v>0.1175262437243268</v>
      </c>
      <c r="K669" s="51">
        <f t="shared" si="454"/>
        <v>0.1175262437243268</v>
      </c>
      <c r="L669" s="51">
        <f t="shared" si="454"/>
        <v>0.1175262437243268</v>
      </c>
      <c r="M669" s="50">
        <f t="shared" si="454"/>
        <v>0.1175262437243268</v>
      </c>
      <c r="N669" s="51">
        <f t="shared" si="454"/>
        <v>0.1175262437243268</v>
      </c>
      <c r="O669" s="51">
        <f t="shared" si="454"/>
        <v>0.1175262437243268</v>
      </c>
      <c r="P669" s="51">
        <f t="shared" si="454"/>
        <v>0.1175262437243268</v>
      </c>
      <c r="Q669" s="51">
        <f>P669</f>
        <v>0.1175262437243268</v>
      </c>
      <c r="R669" s="56"/>
      <c r="S669" s="56"/>
      <c r="T669" s="56"/>
      <c r="U669" s="56"/>
      <c r="V669" s="56"/>
      <c r="W669" s="56"/>
      <c r="X669" s="56"/>
      <c r="Y669" s="56"/>
      <c r="Z669" s="56"/>
      <c r="AA669" s="56"/>
      <c r="AB669" s="56"/>
      <c r="AC669" s="56"/>
      <c r="AD669" s="56"/>
      <c r="AE669" s="56"/>
      <c r="AF669" s="56"/>
      <c r="AG669" s="56"/>
      <c r="AH669" s="56"/>
      <c r="AI669" s="56"/>
      <c r="AJ669" s="56"/>
      <c r="AK669" s="56"/>
      <c r="AL669" s="56"/>
      <c r="AM669" s="56"/>
      <c r="AN669" s="56"/>
      <c r="AO669" s="56"/>
    </row>
    <row r="670" spans="1:17" ht="12.75" customHeight="1" hidden="1">
      <c r="A670" s="16"/>
      <c r="C670" s="21" t="s">
        <v>53</v>
      </c>
      <c r="D670" s="12">
        <v>1</v>
      </c>
      <c r="E670" s="12">
        <f>1/(1+D669)</f>
        <v>0.891593850121181</v>
      </c>
      <c r="F670" s="46">
        <f aca="true" t="shared" si="455" ref="F670:Q670">E670/(1+E669)</f>
        <v>0.7959700968458127</v>
      </c>
      <c r="G670" s="96">
        <f t="shared" si="455"/>
        <v>0.711891141134786</v>
      </c>
      <c r="H670" s="46">
        <f t="shared" si="455"/>
        <v>0.6370240923938396</v>
      </c>
      <c r="I670" s="46">
        <f t="shared" si="455"/>
        <v>0.5700305437757414</v>
      </c>
      <c r="J670" s="46">
        <f t="shared" si="455"/>
        <v>0.510082467393363</v>
      </c>
      <c r="K670" s="46">
        <f t="shared" si="455"/>
        <v>0.4564389160951025</v>
      </c>
      <c r="L670" s="46">
        <f t="shared" si="455"/>
        <v>0.4084368654949437</v>
      </c>
      <c r="M670" s="96">
        <f t="shared" si="455"/>
        <v>0.3654830191135069</v>
      </c>
      <c r="N670" s="46">
        <f t="shared" si="455"/>
        <v>0.3270464753431463</v>
      </c>
      <c r="O670" s="46">
        <f t="shared" si="455"/>
        <v>0.29265216560213747</v>
      </c>
      <c r="P670" s="46">
        <f t="shared" si="455"/>
        <v>0.2618749825747532</v>
      </c>
      <c r="Q670" s="46">
        <f t="shared" si="455"/>
        <v>0.23433452596335894</v>
      </c>
    </row>
    <row r="671" spans="1:17" ht="12.75" customHeight="1" hidden="1">
      <c r="A671" s="16"/>
      <c r="B671" s="42"/>
      <c r="C671" s="42" t="s">
        <v>122</v>
      </c>
      <c r="D671" s="42"/>
      <c r="E671" s="23">
        <f>E$40</f>
        <v>165</v>
      </c>
      <c r="F671" s="23">
        <f aca="true" t="shared" si="456" ref="F671:P671">F$40</f>
        <v>29</v>
      </c>
      <c r="G671" s="23">
        <f t="shared" si="456"/>
        <v>338</v>
      </c>
      <c r="H671" s="23">
        <f t="shared" si="456"/>
        <v>400.6500000000001</v>
      </c>
      <c r="I671" s="23">
        <f t="shared" si="456"/>
        <v>408.663</v>
      </c>
      <c r="J671" s="23">
        <f t="shared" si="456"/>
        <v>416.83626000000015</v>
      </c>
      <c r="K671" s="23">
        <f t="shared" si="456"/>
        <v>425.17298519999997</v>
      </c>
      <c r="L671" s="23">
        <f t="shared" si="456"/>
        <v>433.6764449039996</v>
      </c>
      <c r="M671" s="23">
        <f t="shared" si="456"/>
        <v>442.3499738020803</v>
      </c>
      <c r="N671" s="23">
        <f t="shared" si="456"/>
        <v>451.19697327812173</v>
      </c>
      <c r="O671" s="23">
        <f t="shared" si="456"/>
        <v>460.2209127436847</v>
      </c>
      <c r="P671" s="23">
        <f t="shared" si="456"/>
        <v>469.42533099855723</v>
      </c>
      <c r="Q671" s="1">
        <f>P671*(1+O$5)+P671*(1+O$5)*(1+O$5)/(P669-O$5)</f>
        <v>5486.595289259485</v>
      </c>
    </row>
    <row r="672" spans="1:41" s="134" customFormat="1" ht="12.75" customHeight="1" hidden="1">
      <c r="A672" s="133"/>
      <c r="C672" s="135" t="s">
        <v>54</v>
      </c>
      <c r="D672" s="136"/>
      <c r="E672" s="136">
        <f>E671*E670</f>
        <v>147.11298526999485</v>
      </c>
      <c r="F672" s="136">
        <f>F671*F670</f>
        <v>23.083132808528568</v>
      </c>
      <c r="G672" s="137">
        <f aca="true" t="shared" si="457" ref="G672:Q672">G671*G670</f>
        <v>240.61920570355767</v>
      </c>
      <c r="H672" s="136">
        <f t="shared" si="457"/>
        <v>255.2237026175919</v>
      </c>
      <c r="I672" s="136">
        <f t="shared" si="457"/>
        <v>232.9503921110258</v>
      </c>
      <c r="J672" s="136">
        <f t="shared" si="457"/>
        <v>212.62086799982148</v>
      </c>
      <c r="K672" s="136">
        <f t="shared" si="457"/>
        <v>194.06549651760704</v>
      </c>
      <c r="L672" s="136">
        <f t="shared" si="457"/>
        <v>177.12944779558023</v>
      </c>
      <c r="M672" s="137">
        <f t="shared" si="457"/>
        <v>161.67140392996498</v>
      </c>
      <c r="N672" s="136">
        <f t="shared" si="457"/>
        <v>147.5623797961055</v>
      </c>
      <c r="O672" s="136">
        <f t="shared" si="457"/>
        <v>134.6846467698317</v>
      </c>
      <c r="P672" s="136">
        <f t="shared" si="457"/>
        <v>122.93075037539494</v>
      </c>
      <c r="Q672" s="136">
        <f t="shared" si="457"/>
        <v>1285.6987062614196</v>
      </c>
      <c r="R672" s="138"/>
      <c r="S672" s="138"/>
      <c r="T672" s="138"/>
      <c r="U672" s="138"/>
      <c r="V672" s="138"/>
      <c r="W672" s="138"/>
      <c r="X672" s="138"/>
      <c r="Y672" s="138"/>
      <c r="Z672" s="138"/>
      <c r="AA672" s="138"/>
      <c r="AB672" s="138"/>
      <c r="AC672" s="138"/>
      <c r="AD672" s="138"/>
      <c r="AE672" s="138"/>
      <c r="AF672" s="138"/>
      <c r="AG672" s="138"/>
      <c r="AH672" s="138"/>
      <c r="AI672" s="138"/>
      <c r="AJ672" s="138"/>
      <c r="AK672" s="138"/>
      <c r="AL672" s="138"/>
      <c r="AM672" s="138"/>
      <c r="AN672" s="138"/>
      <c r="AO672" s="138"/>
    </row>
    <row r="673" spans="1:41" s="65" customFormat="1" ht="12.75" customHeight="1" thickBot="1">
      <c r="A673" s="64"/>
      <c r="C673" s="66" t="s">
        <v>55</v>
      </c>
      <c r="D673" s="79">
        <f>SUM(E672:$Q672)/D670</f>
        <v>3335.3531179564243</v>
      </c>
      <c r="E673" s="79">
        <f>SUM(F672:$Q672)/E670</f>
        <v>3575.8884297520667</v>
      </c>
      <c r="F673" s="79">
        <f>SUM(G672:$Q672)/F670</f>
        <v>3976.477272727273</v>
      </c>
      <c r="G673" s="95">
        <f>SUM(H672:$Q672)/G670</f>
        <v>4108.125</v>
      </c>
      <c r="H673" s="79">
        <f>SUM(I672:$Q672)/H670</f>
        <v>4190.287499999999</v>
      </c>
      <c r="I673" s="79">
        <f>SUM(J672:$Q672)/I670</f>
        <v>4274.09325</v>
      </c>
      <c r="J673" s="79">
        <f>SUM(K672:$Q672)/J670</f>
        <v>4359.575114999999</v>
      </c>
      <c r="K673" s="79">
        <f>SUM(L672:$Q672)/K670</f>
        <v>4446.766617299999</v>
      </c>
      <c r="L673" s="79">
        <f>SUM(M672:$Q672)/L670</f>
        <v>4535.701949645999</v>
      </c>
      <c r="M673" s="95">
        <f>SUM(N672:$Q672)/M670</f>
        <v>4626.415988638919</v>
      </c>
      <c r="N673" s="79">
        <f>SUM(O672:$Q672)/N670</f>
        <v>4718.944308411696</v>
      </c>
      <c r="O673" s="79">
        <f>SUM(P672:$Q672)/O670</f>
        <v>4813.323194579928</v>
      </c>
      <c r="P673" s="79">
        <f>SUM(Q672:$Q672)/P670</f>
        <v>4909.5896584715265</v>
      </c>
      <c r="Q673" s="79"/>
      <c r="R673" s="69"/>
      <c r="S673" s="69"/>
      <c r="T673" s="69"/>
      <c r="U673" s="69"/>
      <c r="V673" s="69"/>
      <c r="W673" s="69"/>
      <c r="X673" s="69"/>
      <c r="Y673" s="69"/>
      <c r="Z673" s="69"/>
      <c r="AA673" s="69"/>
      <c r="AB673" s="69"/>
      <c r="AC673" s="69"/>
      <c r="AD673" s="69"/>
      <c r="AE673" s="69"/>
      <c r="AF673" s="69"/>
      <c r="AG673" s="69"/>
      <c r="AH673" s="69"/>
      <c r="AI673" s="69"/>
      <c r="AJ673" s="69"/>
      <c r="AK673" s="69"/>
      <c r="AL673" s="69"/>
      <c r="AM673" s="69"/>
      <c r="AN673" s="69"/>
      <c r="AO673" s="69"/>
    </row>
    <row r="674" spans="1:17" ht="12" customHeight="1">
      <c r="A674" s="16"/>
      <c r="C674" s="89" t="s">
        <v>56</v>
      </c>
      <c r="D674" s="68">
        <f>D673</f>
        <v>3335.3531179564243</v>
      </c>
      <c r="E674" s="68">
        <f aca="true" t="shared" si="458" ref="E674:P674">D674*(1+D669)-E671</f>
        <v>3575.8884297520667</v>
      </c>
      <c r="F674" s="68">
        <f t="shared" si="458"/>
        <v>3976.4772727272734</v>
      </c>
      <c r="G674" s="100">
        <f t="shared" si="458"/>
        <v>4108.125000000001</v>
      </c>
      <c r="H674" s="68">
        <f t="shared" si="458"/>
        <v>4190.2875</v>
      </c>
      <c r="I674" s="68">
        <f t="shared" si="458"/>
        <v>4274.09325</v>
      </c>
      <c r="J674" s="68">
        <f t="shared" si="458"/>
        <v>4359.575115</v>
      </c>
      <c r="K674" s="68">
        <f t="shared" si="458"/>
        <v>4446.7666173</v>
      </c>
      <c r="L674" s="68">
        <f t="shared" si="458"/>
        <v>4535.701949646001</v>
      </c>
      <c r="M674" s="100">
        <f t="shared" si="458"/>
        <v>4626.415988638921</v>
      </c>
      <c r="N674" s="68">
        <f t="shared" si="458"/>
        <v>4718.944308411699</v>
      </c>
      <c r="O674" s="68">
        <f t="shared" si="458"/>
        <v>4813.3231945799325</v>
      </c>
      <c r="P674" s="68">
        <f t="shared" si="458"/>
        <v>4909.589658471532</v>
      </c>
      <c r="Q674" s="68"/>
    </row>
    <row r="675" spans="1:13" ht="9" customHeight="1">
      <c r="A675" s="16"/>
      <c r="D675" s="41"/>
      <c r="E675" s="5"/>
      <c r="M675" s="31"/>
    </row>
    <row r="676" spans="1:41" s="7" customFormat="1" ht="13.5" customHeight="1">
      <c r="A676" s="16"/>
      <c r="C676" s="7" t="s">
        <v>57</v>
      </c>
      <c r="D676" s="49">
        <f aca="true" t="shared" si="459" ref="D676:P676">(D674*D669+D656*D658-D652*D657*E$30)/(D674+D656)</f>
        <v>0.10000000000000002</v>
      </c>
      <c r="E676" s="49">
        <f t="shared" si="459"/>
        <v>0.09999999999999999</v>
      </c>
      <c r="F676" s="49">
        <f t="shared" si="459"/>
        <v>0.1</v>
      </c>
      <c r="G676" s="49">
        <f t="shared" si="459"/>
        <v>0.10000000000000002</v>
      </c>
      <c r="H676" s="49">
        <f t="shared" si="459"/>
        <v>0.10000000000000002</v>
      </c>
      <c r="I676" s="49">
        <f t="shared" si="459"/>
        <v>0.09999999999999999</v>
      </c>
      <c r="J676" s="49">
        <f t="shared" si="459"/>
        <v>0.10000000000000002</v>
      </c>
      <c r="K676" s="49">
        <f t="shared" si="459"/>
        <v>0.10000000000000002</v>
      </c>
      <c r="L676" s="49">
        <f t="shared" si="459"/>
        <v>0.1</v>
      </c>
      <c r="M676" s="49">
        <f t="shared" si="459"/>
        <v>0.1</v>
      </c>
      <c r="N676" s="49">
        <f t="shared" si="459"/>
        <v>0.1</v>
      </c>
      <c r="O676" s="49">
        <f t="shared" si="459"/>
        <v>0.10000000000000002</v>
      </c>
      <c r="P676" s="49">
        <f t="shared" si="459"/>
        <v>0.09999999999999999</v>
      </c>
      <c r="Q676" s="49">
        <f>P676</f>
        <v>0.09999999999999999</v>
      </c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B676" s="56"/>
      <c r="AC676" s="56"/>
      <c r="AD676" s="56"/>
      <c r="AE676" s="56"/>
      <c r="AF676" s="56"/>
      <c r="AG676" s="56"/>
      <c r="AH676" s="56"/>
      <c r="AI676" s="56"/>
      <c r="AJ676" s="56"/>
      <c r="AK676" s="56"/>
      <c r="AL676" s="56"/>
      <c r="AM676" s="56"/>
      <c r="AN676" s="56"/>
      <c r="AO676" s="56"/>
    </row>
    <row r="677" spans="1:17" ht="13.5" customHeight="1" hidden="1">
      <c r="A677" s="16"/>
      <c r="C677" s="21" t="s">
        <v>58</v>
      </c>
      <c r="D677" s="12">
        <v>1</v>
      </c>
      <c r="E677" s="12">
        <f>1/(1+D676)</f>
        <v>0.9090909090909091</v>
      </c>
      <c r="F677" s="12">
        <f aca="true" t="shared" si="460" ref="F677:Q677">E677/(1+E676)</f>
        <v>0.8264462809917354</v>
      </c>
      <c r="G677" s="98">
        <f t="shared" si="460"/>
        <v>0.7513148009015777</v>
      </c>
      <c r="H677" s="12">
        <f t="shared" si="460"/>
        <v>0.6830134553650705</v>
      </c>
      <c r="I677" s="12">
        <f t="shared" si="460"/>
        <v>0.6209213230591549</v>
      </c>
      <c r="J677" s="12">
        <f t="shared" si="460"/>
        <v>0.5644739300537771</v>
      </c>
      <c r="K677" s="12">
        <f t="shared" si="460"/>
        <v>0.5131581182307065</v>
      </c>
      <c r="L677" s="12">
        <f t="shared" si="460"/>
        <v>0.4665073802097331</v>
      </c>
      <c r="M677" s="98">
        <f t="shared" si="460"/>
        <v>0.4240976183724846</v>
      </c>
      <c r="N677" s="12">
        <f t="shared" si="460"/>
        <v>0.3855432894295314</v>
      </c>
      <c r="O677" s="12">
        <f t="shared" si="460"/>
        <v>0.35049389948139215</v>
      </c>
      <c r="P677" s="12">
        <f t="shared" si="460"/>
        <v>0.31863081771035645</v>
      </c>
      <c r="Q677" s="12">
        <f t="shared" si="460"/>
        <v>0.2896643797366877</v>
      </c>
    </row>
    <row r="678" spans="1:17" ht="13.5" customHeight="1" hidden="1">
      <c r="A678" s="45"/>
      <c r="B678" s="42"/>
      <c r="C678" s="42" t="s">
        <v>31</v>
      </c>
      <c r="D678" s="42"/>
      <c r="E678" s="23">
        <f>E$41</f>
        <v>243</v>
      </c>
      <c r="F678" s="23">
        <f aca="true" t="shared" si="461" ref="F678:P678">F$41</f>
        <v>107</v>
      </c>
      <c r="G678" s="23">
        <f t="shared" si="461"/>
        <v>416</v>
      </c>
      <c r="H678" s="23">
        <f t="shared" si="461"/>
        <v>448.6500000000001</v>
      </c>
      <c r="I678" s="23">
        <f t="shared" si="461"/>
        <v>457.6229999999999</v>
      </c>
      <c r="J678" s="23">
        <f t="shared" si="461"/>
        <v>466.7754600000002</v>
      </c>
      <c r="K678" s="23">
        <f t="shared" si="461"/>
        <v>476.1109691999999</v>
      </c>
      <c r="L678" s="23">
        <f t="shared" si="461"/>
        <v>485.63318858399964</v>
      </c>
      <c r="M678" s="23">
        <f t="shared" si="461"/>
        <v>495.3458523556802</v>
      </c>
      <c r="N678" s="23">
        <f t="shared" si="461"/>
        <v>505.2527694027938</v>
      </c>
      <c r="O678" s="23">
        <f t="shared" si="461"/>
        <v>515.35782479085</v>
      </c>
      <c r="P678" s="23">
        <f t="shared" si="461"/>
        <v>525.6649812866659</v>
      </c>
      <c r="Q678" s="1">
        <f>P678*(1+O$5)+P678*(1+O$5)*(1+O$5)/(P676-O$5)</f>
        <v>7372.451362545491</v>
      </c>
    </row>
    <row r="679" spans="1:17" ht="13.5" customHeight="1" hidden="1">
      <c r="A679" s="16"/>
      <c r="C679" s="21" t="s">
        <v>38</v>
      </c>
      <c r="D679" s="1"/>
      <c r="E679" s="1">
        <f aca="true" t="shared" si="462" ref="E679:Q679">E678*E677</f>
        <v>220.9090909090909</v>
      </c>
      <c r="F679" s="1">
        <f t="shared" si="462"/>
        <v>88.4297520661157</v>
      </c>
      <c r="G679" s="29">
        <f t="shared" si="462"/>
        <v>312.5469571750563</v>
      </c>
      <c r="H679" s="1">
        <f t="shared" si="462"/>
        <v>306.433986749539</v>
      </c>
      <c r="I679" s="1">
        <f t="shared" si="462"/>
        <v>284.1478786222996</v>
      </c>
      <c r="J679" s="1">
        <f t="shared" si="462"/>
        <v>263.4825783588597</v>
      </c>
      <c r="K679" s="1">
        <f t="shared" si="462"/>
        <v>244.32020902366978</v>
      </c>
      <c r="L679" s="1">
        <f t="shared" si="462"/>
        <v>226.55146654922092</v>
      </c>
      <c r="M679" s="29">
        <f t="shared" si="462"/>
        <v>210.07499625473238</v>
      </c>
      <c r="N679" s="1">
        <f t="shared" si="462"/>
        <v>194.79681470893362</v>
      </c>
      <c r="O679" s="1">
        <f t="shared" si="462"/>
        <v>180.6297736391931</v>
      </c>
      <c r="P679" s="1">
        <f t="shared" si="462"/>
        <v>167.49306282906957</v>
      </c>
      <c r="Q679" s="1">
        <f t="shared" si="462"/>
        <v>2135.5365510706374</v>
      </c>
    </row>
    <row r="680" spans="1:17" ht="13.5" customHeight="1">
      <c r="A680" s="16"/>
      <c r="B680" s="4" t="s">
        <v>59</v>
      </c>
      <c r="C680" s="42" t="s">
        <v>60</v>
      </c>
      <c r="D680" s="18">
        <f>SUM(E679:$Q679)/D677</f>
        <v>4835.353117956418</v>
      </c>
      <c r="E680" s="18">
        <f>SUM(F679:$Q679)/E677</f>
        <v>5075.88842975206</v>
      </c>
      <c r="F680" s="18">
        <f>SUM(G679:$Q679)/F677</f>
        <v>5476.477272727266</v>
      </c>
      <c r="G680" s="91">
        <f>SUM(H679:$Q679)/G677</f>
        <v>5608.124999999993</v>
      </c>
      <c r="H680" s="18">
        <f>SUM(I679:$Q679)/H677</f>
        <v>5720.287499999993</v>
      </c>
      <c r="I680" s="18">
        <f>SUM(J679:$Q679)/I677</f>
        <v>5834.693249999993</v>
      </c>
      <c r="J680" s="18">
        <f>SUM(K679:$Q679)/J677</f>
        <v>5951.387114999993</v>
      </c>
      <c r="K680" s="18">
        <f>SUM(L679:$Q679)/K677</f>
        <v>6070.414857299993</v>
      </c>
      <c r="L680" s="18">
        <f>SUM(M679:$Q679)/L677</f>
        <v>6191.823154445993</v>
      </c>
      <c r="M680" s="91">
        <f>SUM(N679:$Q679)/M677</f>
        <v>6315.659617534914</v>
      </c>
      <c r="N680" s="18">
        <f>SUM(O679:$Q679)/N677</f>
        <v>6441.972809885611</v>
      </c>
      <c r="O680" s="18">
        <f>SUM(P679:$Q679)/O677</f>
        <v>6570.812266083323</v>
      </c>
      <c r="P680" s="18">
        <f>SUM(Q679:$Q679)/P677</f>
        <v>6702.228511404991</v>
      </c>
      <c r="Q680" s="18"/>
    </row>
    <row r="681" spans="1:41" s="65" customFormat="1" ht="12.75" customHeight="1" thickBot="1">
      <c r="A681" s="64"/>
      <c r="B681" s="65" t="s">
        <v>48</v>
      </c>
      <c r="C681" s="77" t="s">
        <v>61</v>
      </c>
      <c r="D681" s="79">
        <f aca="true" t="shared" si="463" ref="D681:P681">D680-D656</f>
        <v>3335.3531179564197</v>
      </c>
      <c r="E681" s="79">
        <f t="shared" si="463"/>
        <v>3575.8884297520617</v>
      </c>
      <c r="F681" s="79">
        <f t="shared" si="463"/>
        <v>3976.4772727272675</v>
      </c>
      <c r="G681" s="95">
        <f t="shared" si="463"/>
        <v>4108.1249999999945</v>
      </c>
      <c r="H681" s="79">
        <f t="shared" si="463"/>
        <v>4190.287499999995</v>
      </c>
      <c r="I681" s="79">
        <f t="shared" si="463"/>
        <v>4274.093249999994</v>
      </c>
      <c r="J681" s="79">
        <f t="shared" si="463"/>
        <v>4359.575114999995</v>
      </c>
      <c r="K681" s="79">
        <f t="shared" si="463"/>
        <v>4446.766617299994</v>
      </c>
      <c r="L681" s="79">
        <f t="shared" si="463"/>
        <v>4535.701949645995</v>
      </c>
      <c r="M681" s="95">
        <f t="shared" si="463"/>
        <v>4626.415988638915</v>
      </c>
      <c r="N681" s="79">
        <f t="shared" si="463"/>
        <v>4718.944308411693</v>
      </c>
      <c r="O681" s="79">
        <f t="shared" si="463"/>
        <v>4813.323194579926</v>
      </c>
      <c r="P681" s="79">
        <f t="shared" si="463"/>
        <v>4909.5896584715265</v>
      </c>
      <c r="Q681" s="108"/>
      <c r="R681" s="69"/>
      <c r="S681" s="69"/>
      <c r="T681" s="69"/>
      <c r="U681" s="69"/>
      <c r="V681" s="69"/>
      <c r="W681" s="69"/>
      <c r="X681" s="69"/>
      <c r="Y681" s="69"/>
      <c r="Z681" s="69"/>
      <c r="AA681" s="69"/>
      <c r="AB681" s="69"/>
      <c r="AC681" s="69"/>
      <c r="AD681" s="69"/>
      <c r="AE681" s="69"/>
      <c r="AF681" s="69"/>
      <c r="AG681" s="69"/>
      <c r="AH681" s="69"/>
      <c r="AI681" s="69"/>
      <c r="AJ681" s="69"/>
      <c r="AK681" s="69"/>
      <c r="AL681" s="69"/>
      <c r="AM681" s="69"/>
      <c r="AN681" s="69"/>
      <c r="AO681" s="69"/>
    </row>
    <row r="682" spans="1:17" ht="12.75" customHeight="1">
      <c r="A682" s="16"/>
      <c r="C682" s="72" t="s">
        <v>62</v>
      </c>
      <c r="D682" s="70">
        <f>D680</f>
        <v>4835.353117956418</v>
      </c>
      <c r="E682" s="70">
        <f aca="true" t="shared" si="464" ref="E682:P682">D682*(1+D676)-E635</f>
        <v>1226.8383838383793</v>
      </c>
      <c r="F682" s="70">
        <f t="shared" si="464"/>
        <v>-3151.955050505053</v>
      </c>
      <c r="G682" s="29">
        <f t="shared" si="464"/>
        <v>-8109.9977777777785</v>
      </c>
      <c r="H682" s="70">
        <f t="shared" si="464"/>
        <v>-13656.70172222222</v>
      </c>
      <c r="I682" s="70">
        <f t="shared" si="464"/>
        <v>-19852.79014444444</v>
      </c>
      <c r="J682" s="70">
        <f t="shared" si="464"/>
        <v>-26765.095773888883</v>
      </c>
      <c r="K682" s="70">
        <f t="shared" si="464"/>
        <v>-34467.17249857777</v>
      </c>
      <c r="L682" s="70">
        <f t="shared" si="464"/>
        <v>-43039.96823868154</v>
      </c>
      <c r="M682" s="29">
        <f t="shared" si="464"/>
        <v>-52572.565122600616</v>
      </c>
      <c r="N682" s="70">
        <f t="shared" si="464"/>
        <v>-63162.993696112615</v>
      </c>
      <c r="O682" s="70">
        <f t="shared" si="464"/>
        <v>-74919.12856820085</v>
      </c>
      <c r="P682" s="70">
        <f t="shared" si="464"/>
        <v>-87959.67363754746</v>
      </c>
      <c r="Q682" s="88"/>
    </row>
    <row r="683" spans="1:17" ht="6.75" customHeight="1">
      <c r="A683" s="16"/>
      <c r="C683" s="6"/>
      <c r="D683" s="6"/>
      <c r="E683" s="44"/>
      <c r="F683" s="44"/>
      <c r="G683" s="30"/>
      <c r="H683" s="44"/>
      <c r="I683" s="44"/>
      <c r="J683" s="44"/>
      <c r="K683" s="44"/>
      <c r="L683" s="44"/>
      <c r="M683" s="30"/>
      <c r="N683" s="44"/>
      <c r="O683" s="44"/>
      <c r="P683" s="44"/>
      <c r="Q683" s="44"/>
    </row>
    <row r="684" spans="1:41" s="7" customFormat="1" ht="13.5" customHeight="1">
      <c r="A684" s="16"/>
      <c r="C684" s="7" t="s">
        <v>63</v>
      </c>
      <c r="D684" s="49">
        <f aca="true" t="shared" si="465" ref="D684:P684">(D656*D658+D665*D669)/(D656+D665)</f>
        <v>0.1086860253998886</v>
      </c>
      <c r="E684" s="49">
        <f t="shared" si="465"/>
        <v>0.10827441354971852</v>
      </c>
      <c r="F684" s="49">
        <f t="shared" si="465"/>
        <v>0.10766916357147305</v>
      </c>
      <c r="G684" s="132">
        <f t="shared" si="465"/>
        <v>0.10748913406887328</v>
      </c>
      <c r="H684" s="49">
        <f t="shared" si="465"/>
        <v>0.1074891340688733</v>
      </c>
      <c r="I684" s="49">
        <f t="shared" si="465"/>
        <v>0.1074891340688733</v>
      </c>
      <c r="J684" s="49">
        <f t="shared" si="465"/>
        <v>0.1074891340688733</v>
      </c>
      <c r="K684" s="49">
        <f t="shared" si="465"/>
        <v>0.10748913406887328</v>
      </c>
      <c r="L684" s="49">
        <f t="shared" si="465"/>
        <v>0.10748913406887331</v>
      </c>
      <c r="M684" s="132">
        <f t="shared" si="465"/>
        <v>0.1074891340688733</v>
      </c>
      <c r="N684" s="49">
        <f t="shared" si="465"/>
        <v>0.10748913406887328</v>
      </c>
      <c r="O684" s="49">
        <f t="shared" si="465"/>
        <v>0.10748913406887328</v>
      </c>
      <c r="P684" s="49">
        <f t="shared" si="465"/>
        <v>0.10748913406887328</v>
      </c>
      <c r="Q684" s="49">
        <f>P684</f>
        <v>0.10748913406887328</v>
      </c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B684" s="56"/>
      <c r="AC684" s="56"/>
      <c r="AD684" s="56"/>
      <c r="AE684" s="56"/>
      <c r="AF684" s="56"/>
      <c r="AG684" s="56"/>
      <c r="AH684" s="56"/>
      <c r="AI684" s="56"/>
      <c r="AJ684" s="56"/>
      <c r="AK684" s="56"/>
      <c r="AL684" s="56"/>
      <c r="AM684" s="56"/>
      <c r="AN684" s="56"/>
      <c r="AO684" s="56"/>
    </row>
    <row r="685" spans="1:17" ht="13.5" customHeight="1" hidden="1">
      <c r="A685" s="16"/>
      <c r="C685" s="21" t="s">
        <v>64</v>
      </c>
      <c r="D685" s="12">
        <v>1</v>
      </c>
      <c r="E685" s="12">
        <f>1/(1+D684)</f>
        <v>0.9019686160825495</v>
      </c>
      <c r="F685" s="12">
        <f aca="true" t="shared" si="466" ref="F685:Q685">E685/(1+E684)</f>
        <v>0.8138495349663563</v>
      </c>
      <c r="G685" s="98">
        <f t="shared" si="466"/>
        <v>0.7347406262915633</v>
      </c>
      <c r="H685" s="12">
        <f t="shared" si="466"/>
        <v>0.6634291964492275</v>
      </c>
      <c r="I685" s="12">
        <f t="shared" si="466"/>
        <v>0.599039011797627</v>
      </c>
      <c r="J685" s="12">
        <f t="shared" si="466"/>
        <v>0.5408983197846648</v>
      </c>
      <c r="K685" s="12">
        <f t="shared" si="466"/>
        <v>0.4884005658795268</v>
      </c>
      <c r="L685" s="12">
        <f t="shared" si="466"/>
        <v>0.4409980656741629</v>
      </c>
      <c r="M685" s="98">
        <f t="shared" si="466"/>
        <v>0.39819629114910826</v>
      </c>
      <c r="N685" s="12">
        <f t="shared" si="466"/>
        <v>0.3595487114949382</v>
      </c>
      <c r="O685" s="12">
        <f t="shared" si="466"/>
        <v>0.324652134666071</v>
      </c>
      <c r="P685" s="12">
        <f t="shared" si="466"/>
        <v>0.29314250106753764</v>
      </c>
      <c r="Q685" s="12">
        <f t="shared" si="466"/>
        <v>0.264691085492228</v>
      </c>
    </row>
    <row r="686" spans="1:17" ht="13.5" customHeight="1" hidden="1">
      <c r="A686" s="45"/>
      <c r="B686" s="42"/>
      <c r="C686" s="42" t="s">
        <v>33</v>
      </c>
      <c r="D686" s="42"/>
      <c r="E686" s="23">
        <f>E$43</f>
        <v>285</v>
      </c>
      <c r="F686" s="23">
        <f aca="true" t="shared" si="467" ref="F686:P686">F$43</f>
        <v>149</v>
      </c>
      <c r="G686" s="23">
        <f t="shared" si="467"/>
        <v>458</v>
      </c>
      <c r="H686" s="23">
        <f t="shared" si="467"/>
        <v>490.6500000000001</v>
      </c>
      <c r="I686" s="23">
        <f t="shared" si="467"/>
        <v>500.46299999999985</v>
      </c>
      <c r="J686" s="23">
        <f t="shared" si="467"/>
        <v>510.4722600000002</v>
      </c>
      <c r="K686" s="23">
        <f t="shared" si="467"/>
        <v>520.6817051999999</v>
      </c>
      <c r="L686" s="23">
        <f t="shared" si="467"/>
        <v>531.0953393039996</v>
      </c>
      <c r="M686" s="23">
        <f t="shared" si="467"/>
        <v>541.7172460900803</v>
      </c>
      <c r="N686" s="23">
        <f t="shared" si="467"/>
        <v>552.5515910118818</v>
      </c>
      <c r="O686" s="23">
        <f t="shared" si="467"/>
        <v>563.6026228321198</v>
      </c>
      <c r="P686" s="23">
        <f t="shared" si="467"/>
        <v>574.8746752887611</v>
      </c>
      <c r="Q686" s="1">
        <f>P686*(1+O$5)+P686*(1+O$5)*(1+O$5)/(P684-O$5)</f>
        <v>7422.645250427628</v>
      </c>
    </row>
    <row r="687" spans="1:17" ht="13.5" customHeight="1" hidden="1">
      <c r="A687" s="16"/>
      <c r="C687" s="21" t="s">
        <v>65</v>
      </c>
      <c r="D687" s="1"/>
      <c r="E687" s="1">
        <f aca="true" t="shared" si="468" ref="E687:Q687">E686*E685</f>
        <v>257.06105558352664</v>
      </c>
      <c r="F687" s="1">
        <f t="shared" si="468"/>
        <v>121.26358070998708</v>
      </c>
      <c r="G687" s="29">
        <f t="shared" si="468"/>
        <v>336.511206841536</v>
      </c>
      <c r="H687" s="1">
        <f t="shared" si="468"/>
        <v>325.5115352378135</v>
      </c>
      <c r="I687" s="1">
        <f t="shared" si="468"/>
        <v>299.7968609612757</v>
      </c>
      <c r="J687" s="1">
        <f t="shared" si="468"/>
        <v>276.11358773068065</v>
      </c>
      <c r="K687" s="1">
        <f t="shared" si="468"/>
        <v>254.3012394627969</v>
      </c>
      <c r="L687" s="1">
        <f t="shared" si="468"/>
        <v>234.21201732162703</v>
      </c>
      <c r="M687" s="29">
        <f t="shared" si="468"/>
        <v>215.70979824457874</v>
      </c>
      <c r="N687" s="1">
        <f t="shared" si="468"/>
        <v>198.66921258280018</v>
      </c>
      <c r="O687" s="1">
        <f t="shared" si="468"/>
        <v>182.97479460584418</v>
      </c>
      <c r="P687" s="1">
        <f t="shared" si="468"/>
        <v>168.520200114536</v>
      </c>
      <c r="Q687" s="1">
        <f t="shared" si="468"/>
        <v>1964.708028559419</v>
      </c>
    </row>
    <row r="688" spans="1:17" ht="13.5" customHeight="1">
      <c r="A688" s="16"/>
      <c r="B688" s="4" t="s">
        <v>59</v>
      </c>
      <c r="C688" s="42" t="s">
        <v>66</v>
      </c>
      <c r="D688" s="18">
        <f>SUM(E687:$Q687)/D685</f>
        <v>4835.3531179564225</v>
      </c>
      <c r="E688" s="18">
        <f>SUM(F687:$Q687)/E685</f>
        <v>5075.888429752064</v>
      </c>
      <c r="F688" s="18">
        <f>SUM(G687:$Q687)/F685</f>
        <v>5476.47727272727</v>
      </c>
      <c r="G688" s="91">
        <f>SUM(H687:$Q687)/G685</f>
        <v>5608.124999999997</v>
      </c>
      <c r="H688" s="18">
        <f>SUM(I687:$Q687)/H685</f>
        <v>5720.287499999997</v>
      </c>
      <c r="I688" s="18">
        <f>SUM(J687:$Q687)/I685</f>
        <v>5834.6932499999975</v>
      </c>
      <c r="J688" s="18">
        <f>SUM(K687:$Q687)/J685</f>
        <v>5951.387114999996</v>
      </c>
      <c r="K688" s="18">
        <f>SUM(L687:$Q687)/K685</f>
        <v>6070.414857299997</v>
      </c>
      <c r="L688" s="18">
        <f>SUM(M687:$Q687)/L685</f>
        <v>6191.823154445997</v>
      </c>
      <c r="M688" s="91">
        <f>SUM(N687:$Q687)/M685</f>
        <v>6315.659617534916</v>
      </c>
      <c r="N688" s="18">
        <f>SUM(O687:$Q687)/N685</f>
        <v>6441.972809885614</v>
      </c>
      <c r="O688" s="18">
        <f>SUM(P687:$Q687)/O685</f>
        <v>6570.812266083326</v>
      </c>
      <c r="P688" s="18">
        <f>SUM(Q687:$Q687)/P685</f>
        <v>6702.228511404992</v>
      </c>
      <c r="Q688" s="18"/>
    </row>
    <row r="689" spans="1:41" s="65" customFormat="1" ht="12.75" customHeight="1" thickBot="1">
      <c r="A689" s="64"/>
      <c r="B689" s="65" t="s">
        <v>48</v>
      </c>
      <c r="C689" s="77" t="s">
        <v>67</v>
      </c>
      <c r="D689" s="79">
        <f aca="true" t="shared" si="469" ref="D689:P689">D688-D656</f>
        <v>3335.3531179564243</v>
      </c>
      <c r="E689" s="79">
        <f t="shared" si="469"/>
        <v>3575.8884297520663</v>
      </c>
      <c r="F689" s="79">
        <f t="shared" si="469"/>
        <v>3976.477272727272</v>
      </c>
      <c r="G689" s="95">
        <f t="shared" si="469"/>
        <v>4108.124999999999</v>
      </c>
      <c r="H689" s="79">
        <f t="shared" si="469"/>
        <v>4190.2874999999985</v>
      </c>
      <c r="I689" s="79">
        <f t="shared" si="469"/>
        <v>4274.093249999999</v>
      </c>
      <c r="J689" s="79">
        <f t="shared" si="469"/>
        <v>4359.575114999998</v>
      </c>
      <c r="K689" s="79">
        <f t="shared" si="469"/>
        <v>4446.766617299998</v>
      </c>
      <c r="L689" s="79">
        <f t="shared" si="469"/>
        <v>4535.701949645999</v>
      </c>
      <c r="M689" s="95">
        <f t="shared" si="469"/>
        <v>4626.415988638917</v>
      </c>
      <c r="N689" s="79">
        <f t="shared" si="469"/>
        <v>4718.944308411696</v>
      </c>
      <c r="O689" s="79">
        <f t="shared" si="469"/>
        <v>4813.323194579929</v>
      </c>
      <c r="P689" s="79">
        <f t="shared" si="469"/>
        <v>4909.5896584715265</v>
      </c>
      <c r="Q689" s="108"/>
      <c r="R689" s="69"/>
      <c r="S689" s="69"/>
      <c r="T689" s="69"/>
      <c r="U689" s="69"/>
      <c r="V689" s="69"/>
      <c r="W689" s="69"/>
      <c r="X689" s="69"/>
      <c r="Y689" s="69"/>
      <c r="Z689" s="69"/>
      <c r="AA689" s="69"/>
      <c r="AB689" s="69"/>
      <c r="AC689" s="69"/>
      <c r="AD689" s="69"/>
      <c r="AE689" s="69"/>
      <c r="AF689" s="69"/>
      <c r="AG689" s="69"/>
      <c r="AH689" s="69"/>
      <c r="AI689" s="69"/>
      <c r="AJ689" s="69"/>
      <c r="AK689" s="69"/>
      <c r="AL689" s="69"/>
      <c r="AM689" s="69"/>
      <c r="AN689" s="69"/>
      <c r="AO689" s="69"/>
    </row>
    <row r="690" spans="1:17" ht="7.5" customHeight="1">
      <c r="A690" s="16"/>
      <c r="D690" s="40"/>
      <c r="E690" s="40"/>
      <c r="F690" s="40"/>
      <c r="G690" s="33"/>
      <c r="H690" s="40"/>
      <c r="I690" s="40"/>
      <c r="J690" s="22"/>
      <c r="K690" s="22"/>
      <c r="L690" s="22"/>
      <c r="M690" s="26"/>
      <c r="N690" s="22"/>
      <c r="O690" s="22"/>
      <c r="P690" s="22"/>
      <c r="Q690" s="22"/>
    </row>
    <row r="691" spans="1:17" ht="12.75" customHeight="1">
      <c r="A691" s="16"/>
      <c r="C691" s="73" t="s">
        <v>68</v>
      </c>
      <c r="D691" s="70"/>
      <c r="E691" s="70">
        <f aca="true" t="shared" si="470" ref="E691:P691">E$29-D$14*D669</f>
        <v>134.206540139277</v>
      </c>
      <c r="F691" s="70">
        <f t="shared" si="470"/>
        <v>300.3285261132586</v>
      </c>
      <c r="G691" s="70">
        <f t="shared" si="470"/>
        <v>300.8378961506587</v>
      </c>
      <c r="H691" s="70">
        <f t="shared" si="470"/>
        <v>309.9505933363762</v>
      </c>
      <c r="I691" s="70">
        <f t="shared" si="470"/>
        <v>316.14960520310376</v>
      </c>
      <c r="J691" s="70">
        <f t="shared" si="470"/>
        <v>322.47259730716587</v>
      </c>
      <c r="K691" s="70">
        <f t="shared" si="470"/>
        <v>328.92204925330896</v>
      </c>
      <c r="L691" s="70">
        <f t="shared" si="470"/>
        <v>335.5004902383753</v>
      </c>
      <c r="M691" s="70">
        <f t="shared" si="470"/>
        <v>342.2105000431427</v>
      </c>
      <c r="N691" s="70">
        <f t="shared" si="470"/>
        <v>349.0547100440057</v>
      </c>
      <c r="O691" s="70">
        <f t="shared" si="470"/>
        <v>356.03580424488564</v>
      </c>
      <c r="P691" s="70">
        <f t="shared" si="470"/>
        <v>363.1565203297835</v>
      </c>
      <c r="Q691" s="1">
        <f>P691*(1+O$5)+P691*(1+O$5)*(1+O$5)/(P669-O$5)</f>
        <v>4244.5362917822185</v>
      </c>
    </row>
    <row r="692" spans="1:41" s="42" customFormat="1" ht="12.75" customHeight="1">
      <c r="A692" s="45"/>
      <c r="C692" s="39" t="s">
        <v>69</v>
      </c>
      <c r="D692" s="18"/>
      <c r="E692" s="18">
        <f aca="true" t="shared" si="471" ref="E692:P692">E$29+E$25*(1-$F$1)-(D$13+D$14)*D676</f>
        <v>72.99999999999997</v>
      </c>
      <c r="F692" s="18">
        <f t="shared" si="471"/>
        <v>239.00000000000003</v>
      </c>
      <c r="G692" s="18">
        <f t="shared" si="471"/>
        <v>244.5</v>
      </c>
      <c r="H692" s="18">
        <f t="shared" si="471"/>
        <v>254.25000000000006</v>
      </c>
      <c r="I692" s="18">
        <f t="shared" si="471"/>
        <v>259.33500000000015</v>
      </c>
      <c r="J692" s="18">
        <f t="shared" si="471"/>
        <v>264.5217000000002</v>
      </c>
      <c r="K692" s="18">
        <f t="shared" si="471"/>
        <v>269.81213399999996</v>
      </c>
      <c r="L692" s="18">
        <f t="shared" si="471"/>
        <v>275.20837668000013</v>
      </c>
      <c r="M692" s="18">
        <f t="shared" si="471"/>
        <v>280.7125442136</v>
      </c>
      <c r="N692" s="18">
        <f t="shared" si="471"/>
        <v>286.3267950978721</v>
      </c>
      <c r="O692" s="18">
        <f t="shared" si="471"/>
        <v>292.0533309998295</v>
      </c>
      <c r="P692" s="18">
        <f t="shared" si="471"/>
        <v>297.8943976198262</v>
      </c>
      <c r="Q692" s="36"/>
      <c r="R692" s="69"/>
      <c r="S692" s="69"/>
      <c r="T692" s="69"/>
      <c r="U692" s="69"/>
      <c r="V692" s="69"/>
      <c r="W692" s="69"/>
      <c r="X692" s="69"/>
      <c r="Y692" s="69"/>
      <c r="Z692" s="69"/>
      <c r="AA692" s="69"/>
      <c r="AB692" s="69"/>
      <c r="AC692" s="69"/>
      <c r="AD692" s="69"/>
      <c r="AE692" s="69"/>
      <c r="AF692" s="69"/>
      <c r="AG692" s="69"/>
      <c r="AH692" s="69"/>
      <c r="AI692" s="69"/>
      <c r="AJ692" s="69"/>
      <c r="AK692" s="69"/>
      <c r="AL692" s="69"/>
      <c r="AM692" s="69"/>
      <c r="AN692" s="69"/>
      <c r="AO692" s="69"/>
    </row>
    <row r="693" spans="1:17" ht="12.75" customHeight="1">
      <c r="A693" s="16"/>
      <c r="C693" s="56"/>
      <c r="D693" s="70"/>
      <c r="E693" s="70"/>
      <c r="F693" s="70"/>
      <c r="G693" s="29"/>
      <c r="H693" s="70"/>
      <c r="I693" s="70"/>
      <c r="J693" s="70"/>
      <c r="K693" s="70"/>
      <c r="L693" s="70"/>
      <c r="M693" s="29"/>
      <c r="N693" s="70"/>
      <c r="O693" s="70"/>
      <c r="P693" s="70"/>
      <c r="Q693" s="71"/>
    </row>
    <row r="694" spans="1:17" ht="12.75" customHeight="1" hidden="1">
      <c r="A694" s="16"/>
      <c r="C694" s="21" t="s">
        <v>53</v>
      </c>
      <c r="D694" s="70"/>
      <c r="E694" s="70">
        <f aca="true" t="shared" si="472" ref="E694:P694">E670</f>
        <v>0.891593850121181</v>
      </c>
      <c r="F694" s="70">
        <f t="shared" si="472"/>
        <v>0.7959700968458127</v>
      </c>
      <c r="G694" s="29">
        <f t="shared" si="472"/>
        <v>0.711891141134786</v>
      </c>
      <c r="H694" s="70">
        <f t="shared" si="472"/>
        <v>0.6370240923938396</v>
      </c>
      <c r="I694" s="70">
        <f t="shared" si="472"/>
        <v>0.5700305437757414</v>
      </c>
      <c r="J694" s="70">
        <f t="shared" si="472"/>
        <v>0.510082467393363</v>
      </c>
      <c r="K694" s="70">
        <f t="shared" si="472"/>
        <v>0.4564389160951025</v>
      </c>
      <c r="L694" s="70">
        <f t="shared" si="472"/>
        <v>0.4084368654949437</v>
      </c>
      <c r="M694" s="29">
        <f t="shared" si="472"/>
        <v>0.3654830191135069</v>
      </c>
      <c r="N694" s="70">
        <f t="shared" si="472"/>
        <v>0.3270464753431463</v>
      </c>
      <c r="O694" s="70">
        <f t="shared" si="472"/>
        <v>0.29265216560213747</v>
      </c>
      <c r="P694" s="70">
        <f t="shared" si="472"/>
        <v>0.2618749825747532</v>
      </c>
      <c r="Q694" s="74">
        <f>P694/(1+$P669)</f>
        <v>0.23433452596335894</v>
      </c>
    </row>
    <row r="695" spans="1:17" ht="12.75" customHeight="1" hidden="1">
      <c r="A695" s="16"/>
      <c r="C695" s="21" t="s">
        <v>70</v>
      </c>
      <c r="D695" s="1"/>
      <c r="E695" s="1">
        <f>E691*E694</f>
        <v>119.6577258342208</v>
      </c>
      <c r="F695" s="1">
        <f aca="true" t="shared" si="473" ref="F695:Q695">F691*F694</f>
        <v>239.05252601593062</v>
      </c>
      <c r="G695" s="29">
        <f t="shared" si="473"/>
        <v>214.1638331872807</v>
      </c>
      <c r="H695" s="1">
        <f t="shared" si="473"/>
        <v>197.44599540703712</v>
      </c>
      <c r="I695" s="1">
        <f t="shared" si="473"/>
        <v>180.2149313684112</v>
      </c>
      <c r="J695" s="1">
        <f t="shared" si="473"/>
        <v>164.48761810118552</v>
      </c>
      <c r="K695" s="1">
        <f t="shared" si="473"/>
        <v>150.13282364096025</v>
      </c>
      <c r="L695" s="1">
        <f t="shared" si="473"/>
        <v>137.03076860497896</v>
      </c>
      <c r="M695" s="29">
        <f t="shared" si="473"/>
        <v>125.07212672811067</v>
      </c>
      <c r="N695" s="1">
        <f t="shared" si="473"/>
        <v>114.15711262181598</v>
      </c>
      <c r="O695" s="1">
        <f t="shared" si="473"/>
        <v>104.19464914416447</v>
      </c>
      <c r="P695" s="1">
        <f t="shared" si="473"/>
        <v>95.10160743327008</v>
      </c>
      <c r="Q695" s="1">
        <f t="shared" si="473"/>
        <v>994.6413998690596</v>
      </c>
    </row>
    <row r="696" spans="1:17" ht="12.75" customHeight="1">
      <c r="A696" s="16"/>
      <c r="C696" s="42" t="s">
        <v>71</v>
      </c>
      <c r="D696" s="18">
        <f>SUM(E695:$Q695)/D670</f>
        <v>2835.3531179564256</v>
      </c>
      <c r="E696" s="18">
        <f>SUM(F695:$Q695)/E670</f>
        <v>3045.8884297520685</v>
      </c>
      <c r="F696" s="18">
        <f>SUM(G695:$Q695)/F670</f>
        <v>3111.4772727272757</v>
      </c>
      <c r="G696" s="91">
        <f>SUM(H695:$Q695)/G670</f>
        <v>3178.1250000000027</v>
      </c>
      <c r="H696" s="18">
        <f>SUM(I695:$Q695)/H670</f>
        <v>3241.6875000000023</v>
      </c>
      <c r="I696" s="18">
        <f>SUM(J695:$Q695)/I670</f>
        <v>3306.521250000002</v>
      </c>
      <c r="J696" s="18">
        <f>SUM(K695:$Q695)/J670</f>
        <v>3372.651675000002</v>
      </c>
      <c r="K696" s="18">
        <f>SUM(L695:$Q695)/K670</f>
        <v>3440.1047085000027</v>
      </c>
      <c r="L696" s="18">
        <f>SUM(M695:$Q695)/L670</f>
        <v>3508.9068026700024</v>
      </c>
      <c r="M696" s="91">
        <f>SUM(N695:$Q695)/M670</f>
        <v>3579.084938723403</v>
      </c>
      <c r="N696" s="18">
        <f>SUM(O695:$Q695)/N670</f>
        <v>3650.666637497871</v>
      </c>
      <c r="O696" s="18">
        <f>SUM(P695:$Q695)/O670</f>
        <v>3723.679970247828</v>
      </c>
      <c r="P696" s="18">
        <f>SUM(Q695:$Q695)/P670</f>
        <v>3798.153569652784</v>
      </c>
      <c r="Q696" s="71"/>
    </row>
    <row r="697" spans="1:41" s="65" customFormat="1" ht="12.75" customHeight="1" thickBot="1">
      <c r="A697" s="64"/>
      <c r="B697" s="65" t="s">
        <v>72</v>
      </c>
      <c r="C697" s="77" t="s">
        <v>73</v>
      </c>
      <c r="D697" s="79">
        <f aca="true" t="shared" si="474" ref="D697:P697">D696+D$14</f>
        <v>3335.3531179564256</v>
      </c>
      <c r="E697" s="79">
        <f t="shared" si="474"/>
        <v>3575.8884297520685</v>
      </c>
      <c r="F697" s="79">
        <f t="shared" si="474"/>
        <v>3976.4772727272757</v>
      </c>
      <c r="G697" s="79">
        <f t="shared" si="474"/>
        <v>4108.125000000003</v>
      </c>
      <c r="H697" s="79">
        <f t="shared" si="474"/>
        <v>4190.287500000002</v>
      </c>
      <c r="I697" s="79">
        <f t="shared" si="474"/>
        <v>4274.093250000002</v>
      </c>
      <c r="J697" s="79">
        <f t="shared" si="474"/>
        <v>4359.575115000002</v>
      </c>
      <c r="K697" s="79">
        <f t="shared" si="474"/>
        <v>4446.7666173000025</v>
      </c>
      <c r="L697" s="79">
        <f t="shared" si="474"/>
        <v>4535.701949646003</v>
      </c>
      <c r="M697" s="79">
        <f t="shared" si="474"/>
        <v>4626.415988638923</v>
      </c>
      <c r="N697" s="79">
        <f t="shared" si="474"/>
        <v>4718.944308411701</v>
      </c>
      <c r="O697" s="79">
        <f t="shared" si="474"/>
        <v>4813.323194579934</v>
      </c>
      <c r="P697" s="79">
        <f t="shared" si="474"/>
        <v>4909.589658471534</v>
      </c>
      <c r="Q697" s="90"/>
      <c r="R697" s="69"/>
      <c r="S697" s="69"/>
      <c r="T697" s="69"/>
      <c r="U697" s="69"/>
      <c r="V697" s="69"/>
      <c r="W697" s="69"/>
      <c r="X697" s="69"/>
      <c r="Y697" s="69"/>
      <c r="Z697" s="69"/>
      <c r="AA697" s="69"/>
      <c r="AB697" s="69"/>
      <c r="AC697" s="69"/>
      <c r="AD697" s="69"/>
      <c r="AE697" s="69"/>
      <c r="AF697" s="69"/>
      <c r="AG697" s="69"/>
      <c r="AH697" s="69"/>
      <c r="AI697" s="69"/>
      <c r="AJ697" s="69"/>
      <c r="AK697" s="69"/>
      <c r="AL697" s="69"/>
      <c r="AM697" s="69"/>
      <c r="AN697" s="69"/>
      <c r="AO697" s="69"/>
    </row>
    <row r="698" spans="1:17" s="69" customFormat="1" ht="6.75" customHeight="1">
      <c r="A698" s="55"/>
      <c r="C698" s="56"/>
      <c r="D698" s="57"/>
      <c r="E698" s="57"/>
      <c r="F698" s="57"/>
      <c r="G698" s="97"/>
      <c r="H698" s="57"/>
      <c r="I698" s="57"/>
      <c r="J698" s="57"/>
      <c r="K698" s="57"/>
      <c r="L698" s="57"/>
      <c r="M698" s="97"/>
      <c r="N698" s="57"/>
      <c r="O698" s="57"/>
      <c r="P698" s="57"/>
      <c r="Q698" s="71"/>
    </row>
    <row r="699" spans="1:17" s="69" customFormat="1" ht="12" customHeight="1" hidden="1">
      <c r="A699" s="75"/>
      <c r="C699" s="69" t="s">
        <v>69</v>
      </c>
      <c r="D699" s="58"/>
      <c r="E699" s="58">
        <f aca="true" t="shared" si="475" ref="E699:P699">E692</f>
        <v>72.99999999999997</v>
      </c>
      <c r="F699" s="58">
        <f t="shared" si="475"/>
        <v>239.00000000000003</v>
      </c>
      <c r="G699" s="93">
        <f t="shared" si="475"/>
        <v>244.5</v>
      </c>
      <c r="H699" s="58">
        <f t="shared" si="475"/>
        <v>254.25000000000006</v>
      </c>
      <c r="I699" s="58">
        <f t="shared" si="475"/>
        <v>259.33500000000015</v>
      </c>
      <c r="J699" s="58">
        <f t="shared" si="475"/>
        <v>264.5217000000002</v>
      </c>
      <c r="K699" s="58">
        <f t="shared" si="475"/>
        <v>269.81213399999996</v>
      </c>
      <c r="L699" s="58">
        <f t="shared" si="475"/>
        <v>275.20837668000013</v>
      </c>
      <c r="M699" s="93">
        <f t="shared" si="475"/>
        <v>280.7125442136</v>
      </c>
      <c r="N699" s="58">
        <f t="shared" si="475"/>
        <v>286.3267950978721</v>
      </c>
      <c r="O699" s="58">
        <f t="shared" si="475"/>
        <v>292.0533309998295</v>
      </c>
      <c r="P699" s="58">
        <f t="shared" si="475"/>
        <v>297.8943976198262</v>
      </c>
      <c r="Q699" s="1">
        <f>P699*(1+O$5)+P699*(1+O$5)*(1+O$5)/(P676-O$5)</f>
        <v>4177.968926618062</v>
      </c>
    </row>
    <row r="700" spans="1:17" ht="12" customHeight="1" hidden="1">
      <c r="A700" s="16"/>
      <c r="C700" s="21" t="s">
        <v>74</v>
      </c>
      <c r="D700" s="1"/>
      <c r="E700" s="1">
        <f>E699*E677</f>
        <v>66.36363636363633</v>
      </c>
      <c r="F700" s="1">
        <f aca="true" t="shared" si="476" ref="F700:Q700">F699*F677</f>
        <v>197.5206611570248</v>
      </c>
      <c r="G700" s="29">
        <f t="shared" si="476"/>
        <v>183.69646882043574</v>
      </c>
      <c r="H700" s="1">
        <f t="shared" si="476"/>
        <v>173.6561710265692</v>
      </c>
      <c r="I700" s="1">
        <f t="shared" si="476"/>
        <v>161.02663131554604</v>
      </c>
      <c r="J700" s="1">
        <f t="shared" si="476"/>
        <v>149.31560358350632</v>
      </c>
      <c r="K700" s="1">
        <f t="shared" si="476"/>
        <v>138.4562869592512</v>
      </c>
      <c r="L700" s="1">
        <f t="shared" si="476"/>
        <v>128.38673881676027</v>
      </c>
      <c r="M700" s="29">
        <f t="shared" si="476"/>
        <v>119.04952144826854</v>
      </c>
      <c r="N700" s="1">
        <f t="shared" si="476"/>
        <v>110.39137443384904</v>
      </c>
      <c r="O700" s="1">
        <f t="shared" si="476"/>
        <v>102.36291083865999</v>
      </c>
      <c r="P700" s="1">
        <f t="shared" si="476"/>
        <v>94.91833550493928</v>
      </c>
      <c r="Q700" s="1">
        <f t="shared" si="476"/>
        <v>1210.2087776879757</v>
      </c>
    </row>
    <row r="701" spans="1:17" ht="12" customHeight="1">
      <c r="A701" s="16"/>
      <c r="C701" s="42" t="s">
        <v>75</v>
      </c>
      <c r="D701" s="18">
        <f>SUM(E700:$Q700)/D677</f>
        <v>2835.3531179564225</v>
      </c>
      <c r="E701" s="18">
        <f>SUM(F700:$Q700)/E677</f>
        <v>3045.888429752065</v>
      </c>
      <c r="F701" s="18">
        <f>SUM(G700:$Q700)/F677</f>
        <v>3111.4772727272716</v>
      </c>
      <c r="G701" s="91">
        <f>SUM(H700:$Q700)/G677</f>
        <v>3178.1249999999986</v>
      </c>
      <c r="H701" s="18">
        <f>SUM(I700:$Q700)/H677</f>
        <v>3241.687499999999</v>
      </c>
      <c r="I701" s="18">
        <f>SUM(J700:$Q700)/I677</f>
        <v>3306.521249999999</v>
      </c>
      <c r="J701" s="18">
        <f>SUM(K700:$Q700)/J677</f>
        <v>3372.651674999999</v>
      </c>
      <c r="K701" s="18">
        <f>SUM(L700:$Q700)/K677</f>
        <v>3440.1047085</v>
      </c>
      <c r="L701" s="18">
        <f>SUM(M700:$Q700)/L677</f>
        <v>3508.9068026699997</v>
      </c>
      <c r="M701" s="91">
        <f>SUM(N700:$Q700)/M677</f>
        <v>3579.0849387234</v>
      </c>
      <c r="N701" s="18">
        <f>SUM(O700:$Q700)/N677</f>
        <v>3650.666637497869</v>
      </c>
      <c r="O701" s="18">
        <f>SUM(P700:$Q700)/O677</f>
        <v>3723.6799702478265</v>
      </c>
      <c r="P701" s="18">
        <f>SUM(Q700:$Q700)/P677</f>
        <v>3798.1535696527835</v>
      </c>
      <c r="Q701" s="18"/>
    </row>
    <row r="702" spans="1:41" s="65" customFormat="1" ht="12.75" customHeight="1" thickBot="1">
      <c r="A702" s="64"/>
      <c r="B702" s="65" t="s">
        <v>76</v>
      </c>
      <c r="C702" s="77"/>
      <c r="D702" s="112">
        <f aca="true" t="shared" si="477" ref="D702:P702">D701+D$14-(D$62-D$58)</f>
        <v>3335.3531179564243</v>
      </c>
      <c r="E702" s="112">
        <f t="shared" si="477"/>
        <v>3575.8884297520667</v>
      </c>
      <c r="F702" s="112">
        <f t="shared" si="477"/>
        <v>3976.4772727272734</v>
      </c>
      <c r="G702" s="112">
        <f t="shared" si="477"/>
        <v>4108.125</v>
      </c>
      <c r="H702" s="112">
        <f t="shared" si="477"/>
        <v>4190.2875</v>
      </c>
      <c r="I702" s="112">
        <f t="shared" si="477"/>
        <v>4274.093250000001</v>
      </c>
      <c r="J702" s="112">
        <f t="shared" si="477"/>
        <v>4359.5751150000015</v>
      </c>
      <c r="K702" s="112">
        <f t="shared" si="477"/>
        <v>4446.766617300002</v>
      </c>
      <c r="L702" s="112">
        <f t="shared" si="477"/>
        <v>4535.701949646002</v>
      </c>
      <c r="M702" s="112">
        <f t="shared" si="477"/>
        <v>4626.415988638922</v>
      </c>
      <c r="N702" s="112">
        <f t="shared" si="477"/>
        <v>4718.944308411701</v>
      </c>
      <c r="O702" s="112">
        <f t="shared" si="477"/>
        <v>4813.323194579935</v>
      </c>
      <c r="P702" s="112">
        <f t="shared" si="477"/>
        <v>4909.589658471535</v>
      </c>
      <c r="Q702" s="90"/>
      <c r="R702" s="69"/>
      <c r="S702" s="69"/>
      <c r="T702" s="69"/>
      <c r="U702" s="69"/>
      <c r="V702" s="69"/>
      <c r="W702" s="69"/>
      <c r="X702" s="69"/>
      <c r="Y702" s="69"/>
      <c r="Z702" s="69"/>
      <c r="AA702" s="69"/>
      <c r="AB702" s="69"/>
      <c r="AC702" s="69"/>
      <c r="AD702" s="69"/>
      <c r="AE702" s="69"/>
      <c r="AF702" s="69"/>
      <c r="AG702" s="69"/>
      <c r="AH702" s="69"/>
      <c r="AI702" s="69"/>
      <c r="AJ702" s="69"/>
      <c r="AK702" s="69"/>
      <c r="AL702" s="69"/>
      <c r="AM702" s="69"/>
      <c r="AN702" s="69"/>
      <c r="AO702" s="69"/>
    </row>
    <row r="703" spans="1:17" s="69" customFormat="1" ht="12.75" customHeight="1">
      <c r="A703"/>
      <c r="C703" s="56"/>
      <c r="D703" s="57"/>
      <c r="E703" s="57"/>
      <c r="F703" s="57"/>
      <c r="G703" s="97"/>
      <c r="H703" s="57"/>
      <c r="I703" s="57"/>
      <c r="J703" s="57"/>
      <c r="K703" s="57"/>
      <c r="L703" s="57"/>
      <c r="M703" s="97"/>
      <c r="N703" s="57"/>
      <c r="O703" s="57"/>
      <c r="P703" s="57"/>
      <c r="Q703" s="71"/>
    </row>
    <row r="704" spans="1:17" ht="12" customHeight="1">
      <c r="A704" s="45"/>
      <c r="B704" s="42"/>
      <c r="C704" s="39" t="s">
        <v>77</v>
      </c>
      <c r="D704" s="42"/>
      <c r="E704" s="59">
        <f aca="true" t="shared" si="478" ref="E704:Q704">E$40-D665*(D669-D$51)</f>
        <v>93.00000000000007</v>
      </c>
      <c r="F704" s="59">
        <f t="shared" si="478"/>
        <v>-42.99999999999987</v>
      </c>
      <c r="G704" s="59">
        <f t="shared" si="478"/>
        <v>266.0000000000001</v>
      </c>
      <c r="H704" s="59">
        <f t="shared" si="478"/>
        <v>328.6500000000002</v>
      </c>
      <c r="I704" s="59">
        <f t="shared" si="478"/>
        <v>335.2230000000001</v>
      </c>
      <c r="J704" s="59">
        <f t="shared" si="478"/>
        <v>341.9274600000002</v>
      </c>
      <c r="K704" s="59">
        <f t="shared" si="478"/>
        <v>348.7660092000001</v>
      </c>
      <c r="L704" s="59">
        <f t="shared" si="478"/>
        <v>355.7413293839997</v>
      </c>
      <c r="M704" s="59">
        <f t="shared" si="478"/>
        <v>362.8561559716804</v>
      </c>
      <c r="N704" s="59">
        <f t="shared" si="478"/>
        <v>370.11327909111384</v>
      </c>
      <c r="O704" s="59">
        <f t="shared" si="478"/>
        <v>377.5155446729367</v>
      </c>
      <c r="P704" s="59">
        <f t="shared" si="478"/>
        <v>385.06585556639425</v>
      </c>
      <c r="Q704" s="59">
        <f t="shared" si="478"/>
        <v>392.767172677722</v>
      </c>
    </row>
    <row r="705" spans="1:41" s="7" customFormat="1" ht="12" customHeight="1">
      <c r="A705" s="45"/>
      <c r="B705" s="39"/>
      <c r="C705" s="39" t="s">
        <v>78</v>
      </c>
      <c r="D705" s="39"/>
      <c r="E705" s="59">
        <f aca="true" t="shared" si="479" ref="E705:Q705">E$41-D680*(D676-D$51)</f>
        <v>242.99999999999994</v>
      </c>
      <c r="F705" s="59">
        <f t="shared" si="479"/>
        <v>107.00000000000007</v>
      </c>
      <c r="G705" s="59">
        <f t="shared" si="479"/>
        <v>416</v>
      </c>
      <c r="H705" s="59">
        <f t="shared" si="479"/>
        <v>448.65000000000003</v>
      </c>
      <c r="I705" s="59">
        <f t="shared" si="479"/>
        <v>457.6229999999998</v>
      </c>
      <c r="J705" s="59">
        <f t="shared" si="479"/>
        <v>466.77546000000024</v>
      </c>
      <c r="K705" s="59">
        <f t="shared" si="479"/>
        <v>476.11096919999983</v>
      </c>
      <c r="L705" s="59">
        <f t="shared" si="479"/>
        <v>485.6331885839996</v>
      </c>
      <c r="M705" s="59">
        <f t="shared" si="479"/>
        <v>495.3458523556802</v>
      </c>
      <c r="N705" s="59">
        <f t="shared" si="479"/>
        <v>505.2527694027938</v>
      </c>
      <c r="O705" s="59">
        <f t="shared" si="479"/>
        <v>515.35782479085</v>
      </c>
      <c r="P705" s="59">
        <f t="shared" si="479"/>
        <v>525.6649812866658</v>
      </c>
      <c r="Q705" s="59">
        <f t="shared" si="479"/>
        <v>536.1782809123994</v>
      </c>
      <c r="R705" s="56"/>
      <c r="S705" s="56"/>
      <c r="T705" s="56"/>
      <c r="U705" s="56"/>
      <c r="V705" s="56"/>
      <c r="W705" s="56"/>
      <c r="X705" s="56"/>
      <c r="Y705" s="56"/>
      <c r="Z705" s="56"/>
      <c r="AA705" s="56"/>
      <c r="AB705" s="56"/>
      <c r="AC705" s="56"/>
      <c r="AD705" s="56"/>
      <c r="AE705" s="56"/>
      <c r="AF705" s="56"/>
      <c r="AG705" s="56"/>
      <c r="AH705" s="56"/>
      <c r="AI705" s="56"/>
      <c r="AJ705" s="56"/>
      <c r="AK705" s="56"/>
      <c r="AL705" s="56"/>
      <c r="AM705" s="56"/>
      <c r="AN705" s="56"/>
      <c r="AO705" s="56"/>
    </row>
    <row r="706" spans="1:41" s="7" customFormat="1" ht="12" customHeight="1">
      <c r="A706" s="55"/>
      <c r="B706" s="56"/>
      <c r="C706" s="56"/>
      <c r="D706" s="92"/>
      <c r="E706" s="61"/>
      <c r="F706" s="61"/>
      <c r="G706" s="62"/>
      <c r="H706" s="61"/>
      <c r="I706" s="61"/>
      <c r="J706" s="61"/>
      <c r="K706" s="61"/>
      <c r="L706" s="61"/>
      <c r="M706" s="62"/>
      <c r="N706" s="61"/>
      <c r="O706" s="61"/>
      <c r="P706" s="61"/>
      <c r="Q706" s="61"/>
      <c r="R706" s="56"/>
      <c r="S706" s="56"/>
      <c r="T706" s="56"/>
      <c r="U706" s="56"/>
      <c r="V706" s="56"/>
      <c r="W706" s="56"/>
      <c r="X706" s="56"/>
      <c r="Y706" s="56"/>
      <c r="Z706" s="56"/>
      <c r="AA706" s="56"/>
      <c r="AB706" s="56"/>
      <c r="AC706" s="56"/>
      <c r="AD706" s="56"/>
      <c r="AE706" s="56"/>
      <c r="AF706" s="56"/>
      <c r="AG706" s="56"/>
      <c r="AH706" s="56"/>
      <c r="AI706" s="56"/>
      <c r="AJ706" s="56"/>
      <c r="AK706" s="56"/>
      <c r="AL706" s="56"/>
      <c r="AM706" s="56"/>
      <c r="AN706" s="56"/>
      <c r="AO706" s="56"/>
    </row>
    <row r="707" spans="1:41" s="7" customFormat="1" ht="12" customHeight="1">
      <c r="A707" s="16"/>
      <c r="C707" s="7" t="s">
        <v>36</v>
      </c>
      <c r="D707" s="51">
        <f aca="true" t="shared" si="480" ref="D707:Q707">D$51</f>
        <v>0.1</v>
      </c>
      <c r="E707" s="51">
        <f t="shared" si="480"/>
        <v>0.1</v>
      </c>
      <c r="F707" s="51">
        <f t="shared" si="480"/>
        <v>0.1</v>
      </c>
      <c r="G707" s="51">
        <f t="shared" si="480"/>
        <v>0.1</v>
      </c>
      <c r="H707" s="51">
        <f t="shared" si="480"/>
        <v>0.1</v>
      </c>
      <c r="I707" s="51">
        <f t="shared" si="480"/>
        <v>0.1</v>
      </c>
      <c r="J707" s="51">
        <f t="shared" si="480"/>
        <v>0.1</v>
      </c>
      <c r="K707" s="51">
        <f t="shared" si="480"/>
        <v>0.1</v>
      </c>
      <c r="L707" s="51">
        <f t="shared" si="480"/>
        <v>0.1</v>
      </c>
      <c r="M707" s="51">
        <f t="shared" si="480"/>
        <v>0.1</v>
      </c>
      <c r="N707" s="51">
        <f t="shared" si="480"/>
        <v>0.1</v>
      </c>
      <c r="O707" s="51">
        <f t="shared" si="480"/>
        <v>0.1</v>
      </c>
      <c r="P707" s="51">
        <f t="shared" si="480"/>
        <v>0.1</v>
      </c>
      <c r="Q707" s="51">
        <f t="shared" si="480"/>
        <v>0.1</v>
      </c>
      <c r="R707" s="56"/>
      <c r="S707" s="56"/>
      <c r="T707" s="56"/>
      <c r="U707" s="56"/>
      <c r="V707" s="56"/>
      <c r="W707" s="56"/>
      <c r="X707" s="56"/>
      <c r="Y707" s="56"/>
      <c r="Z707" s="56"/>
      <c r="AA707" s="56"/>
      <c r="AB707" s="56"/>
      <c r="AC707" s="56"/>
      <c r="AD707" s="56"/>
      <c r="AE707" s="56"/>
      <c r="AF707" s="56"/>
      <c r="AG707" s="56"/>
      <c r="AH707" s="56"/>
      <c r="AI707" s="56"/>
      <c r="AJ707" s="56"/>
      <c r="AK707" s="56"/>
      <c r="AL707" s="56"/>
      <c r="AM707" s="56"/>
      <c r="AN707" s="56"/>
      <c r="AO707" s="56"/>
    </row>
    <row r="708" spans="1:17" ht="12" customHeight="1" hidden="1">
      <c r="A708" s="16"/>
      <c r="C708" s="21" t="s">
        <v>53</v>
      </c>
      <c r="D708" s="12">
        <v>1</v>
      </c>
      <c r="E708" s="12">
        <f>1/(1+D707)</f>
        <v>0.9090909090909091</v>
      </c>
      <c r="F708" s="46">
        <f aca="true" t="shared" si="481" ref="F708:Q708">E708/(1+E707)</f>
        <v>0.8264462809917354</v>
      </c>
      <c r="G708" s="96">
        <f t="shared" si="481"/>
        <v>0.7513148009015777</v>
      </c>
      <c r="H708" s="46">
        <f t="shared" si="481"/>
        <v>0.6830134553650705</v>
      </c>
      <c r="I708" s="46">
        <f t="shared" si="481"/>
        <v>0.6209213230591549</v>
      </c>
      <c r="J708" s="46">
        <f t="shared" si="481"/>
        <v>0.5644739300537771</v>
      </c>
      <c r="K708" s="46">
        <f t="shared" si="481"/>
        <v>0.5131581182307065</v>
      </c>
      <c r="L708" s="46">
        <f t="shared" si="481"/>
        <v>0.4665073802097331</v>
      </c>
      <c r="M708" s="96">
        <f t="shared" si="481"/>
        <v>0.4240976183724846</v>
      </c>
      <c r="N708" s="46">
        <f t="shared" si="481"/>
        <v>0.3855432894295314</v>
      </c>
      <c r="O708" s="46">
        <f t="shared" si="481"/>
        <v>0.35049389948139215</v>
      </c>
      <c r="P708" s="46">
        <f t="shared" si="481"/>
        <v>0.31863081771035645</v>
      </c>
      <c r="Q708" s="46">
        <f t="shared" si="481"/>
        <v>0.2896643797366877</v>
      </c>
    </row>
    <row r="709" spans="1:17" ht="12" customHeight="1" hidden="1">
      <c r="A709" s="16"/>
      <c r="B709" s="42"/>
      <c r="C709" s="42" t="s">
        <v>122</v>
      </c>
      <c r="D709" s="42"/>
      <c r="E709" s="23">
        <f aca="true" t="shared" si="482" ref="E709:P709">E704</f>
        <v>93.00000000000007</v>
      </c>
      <c r="F709" s="23">
        <f t="shared" si="482"/>
        <v>-42.99999999999987</v>
      </c>
      <c r="G709" s="101">
        <f t="shared" si="482"/>
        <v>266.0000000000001</v>
      </c>
      <c r="H709" s="23">
        <f t="shared" si="482"/>
        <v>328.6500000000002</v>
      </c>
      <c r="I709" s="23">
        <f t="shared" si="482"/>
        <v>335.2230000000001</v>
      </c>
      <c r="J709" s="23">
        <f t="shared" si="482"/>
        <v>341.9274600000002</v>
      </c>
      <c r="K709" s="23">
        <f t="shared" si="482"/>
        <v>348.7660092000001</v>
      </c>
      <c r="L709" s="23">
        <f t="shared" si="482"/>
        <v>355.7413293839997</v>
      </c>
      <c r="M709" s="23">
        <f t="shared" si="482"/>
        <v>362.8561559716804</v>
      </c>
      <c r="N709" s="23">
        <f t="shared" si="482"/>
        <v>370.11327909111384</v>
      </c>
      <c r="O709" s="23">
        <f t="shared" si="482"/>
        <v>377.5155446729367</v>
      </c>
      <c r="P709" s="23">
        <f t="shared" si="482"/>
        <v>385.06585556639425</v>
      </c>
      <c r="Q709" s="1">
        <f>P709*(1+O$5)+P709*(1+O$5)*(1+O$5)/(P707-O$5)</f>
        <v>5400.54862431868</v>
      </c>
    </row>
    <row r="710" spans="1:17" ht="12" customHeight="1" hidden="1">
      <c r="A710" s="16"/>
      <c r="C710" s="21" t="s">
        <v>54</v>
      </c>
      <c r="D710" s="1"/>
      <c r="E710" s="1">
        <f aca="true" t="shared" si="483" ref="E710:Q710">E709*E708</f>
        <v>84.5454545454546</v>
      </c>
      <c r="F710" s="1">
        <f t="shared" si="483"/>
        <v>-35.53719008264452</v>
      </c>
      <c r="G710" s="29">
        <f t="shared" si="483"/>
        <v>199.84973703981973</v>
      </c>
      <c r="H710" s="1">
        <f t="shared" si="483"/>
        <v>224.47237210573056</v>
      </c>
      <c r="I710" s="1">
        <f t="shared" si="483"/>
        <v>208.14710867985917</v>
      </c>
      <c r="J710" s="1">
        <f t="shared" si="483"/>
        <v>193.00913713950578</v>
      </c>
      <c r="K710" s="1">
        <f t="shared" si="483"/>
        <v>178.97210898390531</v>
      </c>
      <c r="L710" s="1">
        <f t="shared" si="483"/>
        <v>165.95595560325745</v>
      </c>
      <c r="M710" s="29">
        <f t="shared" si="483"/>
        <v>153.88643155938445</v>
      </c>
      <c r="N710" s="1">
        <f t="shared" si="483"/>
        <v>142.69469108233824</v>
      </c>
      <c r="O710" s="1">
        <f t="shared" si="483"/>
        <v>132.3168953672593</v>
      </c>
      <c r="P710" s="1">
        <f t="shared" si="483"/>
        <v>122.6938484314582</v>
      </c>
      <c r="Q710" s="1">
        <f t="shared" si="483"/>
        <v>1564.3465675010923</v>
      </c>
    </row>
    <row r="711" spans="1:17" ht="12" customHeight="1">
      <c r="A711" s="16"/>
      <c r="C711" s="47" t="s">
        <v>79</v>
      </c>
      <c r="D711" s="38">
        <f>SUM(E710:$Q710)/D708</f>
        <v>3335.3531179564206</v>
      </c>
      <c r="E711" s="38">
        <f>SUM(F710:$Q710)/E708</f>
        <v>3575.888429752063</v>
      </c>
      <c r="F711" s="38">
        <f>SUM(G710:$Q710)/F708</f>
        <v>3976.4772727272693</v>
      </c>
      <c r="G711" s="27">
        <f>SUM(H710:$Q710)/G708</f>
        <v>4108.124999999996</v>
      </c>
      <c r="H711" s="38">
        <f>SUM(I710:$Q710)/H708</f>
        <v>4190.287499999996</v>
      </c>
      <c r="I711" s="38">
        <f>SUM(J710:$Q710)/I708</f>
        <v>4274.093249999996</v>
      </c>
      <c r="J711" s="38">
        <f>SUM(K710:$Q710)/J708</f>
        <v>4359.575114999996</v>
      </c>
      <c r="K711" s="38">
        <f>SUM(L710:$Q710)/K708</f>
        <v>4446.766617299996</v>
      </c>
      <c r="L711" s="38">
        <f>SUM(M710:$Q710)/L708</f>
        <v>4535.701949645996</v>
      </c>
      <c r="M711" s="27">
        <f>SUM(N710:$Q710)/M708</f>
        <v>4626.415988638916</v>
      </c>
      <c r="N711" s="38">
        <f>SUM(O710:$Q710)/N708</f>
        <v>4718.944308411694</v>
      </c>
      <c r="O711" s="38">
        <f>SUM(P710:$Q710)/O708</f>
        <v>4813.323194579928</v>
      </c>
      <c r="P711" s="38">
        <f>SUM(Q710:$Q710)/P708</f>
        <v>4909.589658471527</v>
      </c>
      <c r="Q711" s="38"/>
    </row>
    <row r="712" spans="1:16" ht="12.75" customHeight="1">
      <c r="A712" s="16"/>
      <c r="D712" s="41"/>
      <c r="E712" s="41"/>
      <c r="F712" s="41"/>
      <c r="G712" s="146"/>
      <c r="H712" s="41"/>
      <c r="I712" s="41"/>
      <c r="J712" s="41"/>
      <c r="K712" s="41"/>
      <c r="L712" s="41"/>
      <c r="M712" s="31"/>
      <c r="N712" s="41"/>
      <c r="O712" s="41"/>
      <c r="P712" s="41"/>
    </row>
    <row r="713" spans="1:41" s="7" customFormat="1" ht="19.5" customHeight="1" hidden="1">
      <c r="A713" s="16"/>
      <c r="C713" s="7" t="s">
        <v>36</v>
      </c>
      <c r="D713" s="51">
        <f aca="true" t="shared" si="484" ref="D713:Q713">D$51</f>
        <v>0.1</v>
      </c>
      <c r="E713" s="51">
        <f t="shared" si="484"/>
        <v>0.1</v>
      </c>
      <c r="F713" s="51">
        <f t="shared" si="484"/>
        <v>0.1</v>
      </c>
      <c r="G713" s="51">
        <f t="shared" si="484"/>
        <v>0.1</v>
      </c>
      <c r="H713" s="51">
        <f t="shared" si="484"/>
        <v>0.1</v>
      </c>
      <c r="I713" s="51">
        <f t="shared" si="484"/>
        <v>0.1</v>
      </c>
      <c r="J713" s="51">
        <f t="shared" si="484"/>
        <v>0.1</v>
      </c>
      <c r="K713" s="51">
        <f t="shared" si="484"/>
        <v>0.1</v>
      </c>
      <c r="L713" s="51">
        <f t="shared" si="484"/>
        <v>0.1</v>
      </c>
      <c r="M713" s="51">
        <f t="shared" si="484"/>
        <v>0.1</v>
      </c>
      <c r="N713" s="51">
        <f t="shared" si="484"/>
        <v>0.1</v>
      </c>
      <c r="O713" s="51">
        <f t="shared" si="484"/>
        <v>0.1</v>
      </c>
      <c r="P713" s="51">
        <f t="shared" si="484"/>
        <v>0.1</v>
      </c>
      <c r="Q713" s="51">
        <f t="shared" si="484"/>
        <v>0.1</v>
      </c>
      <c r="R713" s="56"/>
      <c r="S713" s="56"/>
      <c r="T713" s="56"/>
      <c r="U713" s="56"/>
      <c r="V713" s="56"/>
      <c r="W713" s="56"/>
      <c r="X713" s="56"/>
      <c r="Y713" s="56"/>
      <c r="Z713" s="56"/>
      <c r="AA713" s="56"/>
      <c r="AB713" s="56"/>
      <c r="AC713" s="56"/>
      <c r="AD713" s="56"/>
      <c r="AE713" s="56"/>
      <c r="AF713" s="56"/>
      <c r="AG713" s="56"/>
      <c r="AH713" s="56"/>
      <c r="AI713" s="56"/>
      <c r="AJ713" s="56"/>
      <c r="AK713" s="56"/>
      <c r="AL713" s="56"/>
      <c r="AM713" s="56"/>
      <c r="AN713" s="56"/>
      <c r="AO713" s="56"/>
    </row>
    <row r="714" spans="1:17" ht="19.5" customHeight="1" hidden="1">
      <c r="A714" s="16"/>
      <c r="C714" s="21" t="s">
        <v>58</v>
      </c>
      <c r="D714" s="12">
        <v>1</v>
      </c>
      <c r="E714" s="12">
        <f>1/(1+D713)</f>
        <v>0.9090909090909091</v>
      </c>
      <c r="F714" s="12">
        <f aca="true" t="shared" si="485" ref="F714:Q714">E714/(1+E713)</f>
        <v>0.8264462809917354</v>
      </c>
      <c r="G714" s="98">
        <f t="shared" si="485"/>
        <v>0.7513148009015777</v>
      </c>
      <c r="H714" s="12">
        <f t="shared" si="485"/>
        <v>0.6830134553650705</v>
      </c>
      <c r="I714" s="12">
        <f t="shared" si="485"/>
        <v>0.6209213230591549</v>
      </c>
      <c r="J714" s="12">
        <f t="shared" si="485"/>
        <v>0.5644739300537771</v>
      </c>
      <c r="K714" s="12">
        <f t="shared" si="485"/>
        <v>0.5131581182307065</v>
      </c>
      <c r="L714" s="12">
        <f t="shared" si="485"/>
        <v>0.4665073802097331</v>
      </c>
      <c r="M714" s="98">
        <f t="shared" si="485"/>
        <v>0.4240976183724846</v>
      </c>
      <c r="N714" s="12">
        <f t="shared" si="485"/>
        <v>0.3855432894295314</v>
      </c>
      <c r="O714" s="12">
        <f t="shared" si="485"/>
        <v>0.35049389948139215</v>
      </c>
      <c r="P714" s="12">
        <f t="shared" si="485"/>
        <v>0.31863081771035645</v>
      </c>
      <c r="Q714" s="12">
        <f t="shared" si="485"/>
        <v>0.2896643797366877</v>
      </c>
    </row>
    <row r="715" spans="1:17" ht="19.5" customHeight="1" hidden="1">
      <c r="A715" s="45"/>
      <c r="B715" s="42"/>
      <c r="C715" s="42" t="s">
        <v>31</v>
      </c>
      <c r="D715" s="42"/>
      <c r="E715" s="42">
        <f aca="true" t="shared" si="486" ref="E715:P715">E705</f>
        <v>242.99999999999994</v>
      </c>
      <c r="F715" s="42">
        <f t="shared" si="486"/>
        <v>107.00000000000007</v>
      </c>
      <c r="G715" s="99">
        <f t="shared" si="486"/>
        <v>416</v>
      </c>
      <c r="H715" s="42">
        <f t="shared" si="486"/>
        <v>448.65000000000003</v>
      </c>
      <c r="I715" s="42">
        <f t="shared" si="486"/>
        <v>457.6229999999998</v>
      </c>
      <c r="J715" s="42">
        <f t="shared" si="486"/>
        <v>466.77546000000024</v>
      </c>
      <c r="K715" s="42">
        <f t="shared" si="486"/>
        <v>476.11096919999983</v>
      </c>
      <c r="L715" s="42">
        <f t="shared" si="486"/>
        <v>485.6331885839996</v>
      </c>
      <c r="M715" s="99">
        <f t="shared" si="486"/>
        <v>495.3458523556802</v>
      </c>
      <c r="N715" s="42">
        <f t="shared" si="486"/>
        <v>505.2527694027938</v>
      </c>
      <c r="O715" s="42">
        <f t="shared" si="486"/>
        <v>515.35782479085</v>
      </c>
      <c r="P715" s="42">
        <f t="shared" si="486"/>
        <v>525.6649812866658</v>
      </c>
      <c r="Q715" s="1">
        <f>P715*(1+O$5)+P715*(1+O$5)*(1+O$5)/(P713-O$5)</f>
        <v>7372.451362545488</v>
      </c>
    </row>
    <row r="716" spans="1:17" ht="19.5" customHeight="1" hidden="1">
      <c r="A716" s="16"/>
      <c r="C716" s="21" t="s">
        <v>38</v>
      </c>
      <c r="D716" s="1"/>
      <c r="E716" s="1">
        <f aca="true" t="shared" si="487" ref="E716:Q716">E715*E714</f>
        <v>220.90909090909085</v>
      </c>
      <c r="F716" s="1">
        <f t="shared" si="487"/>
        <v>88.42975206611575</v>
      </c>
      <c r="G716" s="29">
        <f t="shared" si="487"/>
        <v>312.5469571750563</v>
      </c>
      <c r="H716" s="1">
        <f t="shared" si="487"/>
        <v>306.4339867495389</v>
      </c>
      <c r="I716" s="1">
        <f t="shared" si="487"/>
        <v>284.1478786222996</v>
      </c>
      <c r="J716" s="1">
        <f t="shared" si="487"/>
        <v>263.48257835885977</v>
      </c>
      <c r="K716" s="1">
        <f t="shared" si="487"/>
        <v>244.32020902366975</v>
      </c>
      <c r="L716" s="1">
        <f t="shared" si="487"/>
        <v>226.55146654922092</v>
      </c>
      <c r="M716" s="29">
        <f t="shared" si="487"/>
        <v>210.07499625473238</v>
      </c>
      <c r="N716" s="1">
        <f t="shared" si="487"/>
        <v>194.79681470893362</v>
      </c>
      <c r="O716" s="1">
        <f t="shared" si="487"/>
        <v>180.6297736391931</v>
      </c>
      <c r="P716" s="1">
        <f t="shared" si="487"/>
        <v>167.49306282906954</v>
      </c>
      <c r="Q716" s="1">
        <f t="shared" si="487"/>
        <v>2135.536551070637</v>
      </c>
    </row>
    <row r="717" spans="1:17" ht="19.5" customHeight="1">
      <c r="A717" s="16"/>
      <c r="B717" s="4" t="s">
        <v>80</v>
      </c>
      <c r="C717" s="42" t="s">
        <v>81</v>
      </c>
      <c r="D717" s="18">
        <f>SUM(E716:$Q716)/D714</f>
        <v>4835.353117956418</v>
      </c>
      <c r="E717" s="18">
        <f>SUM(F716:$Q716)/E714</f>
        <v>5075.888429752059</v>
      </c>
      <c r="F717" s="18">
        <f>SUM(G716:$Q716)/F714</f>
        <v>5476.477272727266</v>
      </c>
      <c r="G717" s="91">
        <f>SUM(H716:$Q716)/G714</f>
        <v>5608.124999999993</v>
      </c>
      <c r="H717" s="18">
        <f>SUM(I716:$Q716)/H714</f>
        <v>5720.287499999992</v>
      </c>
      <c r="I717" s="18">
        <f>SUM(J716:$Q716)/I714</f>
        <v>5834.693249999993</v>
      </c>
      <c r="J717" s="18">
        <f>SUM(K716:$Q716)/J714</f>
        <v>5951.387114999992</v>
      </c>
      <c r="K717" s="18">
        <f>SUM(L716:$Q716)/K714</f>
        <v>6070.414857299992</v>
      </c>
      <c r="L717" s="18">
        <f>SUM(M716:$Q716)/L714</f>
        <v>6191.823154445992</v>
      </c>
      <c r="M717" s="91">
        <f>SUM(N716:$Q716)/M714</f>
        <v>6315.659617534911</v>
      </c>
      <c r="N717" s="18">
        <f>SUM(O716:$Q716)/N714</f>
        <v>6441.972809885611</v>
      </c>
      <c r="O717" s="18">
        <f>SUM(P716:$Q716)/O714</f>
        <v>6570.812266083322</v>
      </c>
      <c r="P717" s="18">
        <f>SUM(Q716:$Q716)/P714</f>
        <v>6702.22851140499</v>
      </c>
      <c r="Q717" s="18"/>
    </row>
    <row r="718" spans="1:17" ht="12.75" customHeight="1">
      <c r="A718" s="16"/>
      <c r="B718" s="4" t="s">
        <v>48</v>
      </c>
      <c r="C718" s="39" t="s">
        <v>82</v>
      </c>
      <c r="D718" s="38">
        <f aca="true" t="shared" si="488" ref="D718:P718">D717-D$62</f>
        <v>3335.3531179564197</v>
      </c>
      <c r="E718" s="38">
        <f t="shared" si="488"/>
        <v>3575.888429752061</v>
      </c>
      <c r="F718" s="38">
        <f t="shared" si="488"/>
        <v>3976.4772727272675</v>
      </c>
      <c r="G718" s="38">
        <f t="shared" si="488"/>
        <v>4108.1249999999945</v>
      </c>
      <c r="H718" s="38">
        <f t="shared" si="488"/>
        <v>4190.287499999994</v>
      </c>
      <c r="I718" s="38">
        <f t="shared" si="488"/>
        <v>4274.093249999994</v>
      </c>
      <c r="J718" s="38">
        <f t="shared" si="488"/>
        <v>4359.575114999994</v>
      </c>
      <c r="K718" s="38">
        <f t="shared" si="488"/>
        <v>4446.766617299994</v>
      </c>
      <c r="L718" s="38">
        <f t="shared" si="488"/>
        <v>4535.701949645994</v>
      </c>
      <c r="M718" s="38">
        <f t="shared" si="488"/>
        <v>4626.415988638913</v>
      </c>
      <c r="N718" s="38">
        <f t="shared" si="488"/>
        <v>4718.944308411693</v>
      </c>
      <c r="O718" s="38">
        <f t="shared" si="488"/>
        <v>4813.323194579925</v>
      </c>
      <c r="P718" s="38">
        <f t="shared" si="488"/>
        <v>4909.589658471525</v>
      </c>
      <c r="Q718" s="20"/>
    </row>
    <row r="719" spans="1:17" ht="12.75" customHeight="1">
      <c r="A719" s="16"/>
      <c r="C719" s="56"/>
      <c r="D719" s="57"/>
      <c r="E719" s="57"/>
      <c r="F719" s="116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88"/>
    </row>
    <row r="720" spans="1:41" s="7" customFormat="1" ht="12" customHeight="1">
      <c r="A720" s="45"/>
      <c r="B720" s="39"/>
      <c r="C720" s="39" t="s">
        <v>87</v>
      </c>
      <c r="D720" s="39"/>
      <c r="E720" s="59">
        <f aca="true" t="shared" si="489" ref="E720:Q720">E$41-D717*(D676-D$49)</f>
        <v>49.58587528174317</v>
      </c>
      <c r="F720" s="59">
        <f t="shared" si="489"/>
        <v>-96.03553719008232</v>
      </c>
      <c r="G720" s="59">
        <f t="shared" si="489"/>
        <v>196.94090909090934</v>
      </c>
      <c r="H720" s="59">
        <f t="shared" si="489"/>
        <v>224.32500000000027</v>
      </c>
      <c r="I720" s="59">
        <f t="shared" si="489"/>
        <v>228.81150000000005</v>
      </c>
      <c r="J720" s="59">
        <f t="shared" si="489"/>
        <v>233.3877300000005</v>
      </c>
      <c r="K720" s="59">
        <f t="shared" si="489"/>
        <v>238.05548460000006</v>
      </c>
      <c r="L720" s="59">
        <f t="shared" si="489"/>
        <v>242.81659429199982</v>
      </c>
      <c r="M720" s="59">
        <f t="shared" si="489"/>
        <v>247.67292617784048</v>
      </c>
      <c r="N720" s="59">
        <f t="shared" si="489"/>
        <v>252.62638470139726</v>
      </c>
      <c r="O720" s="59">
        <f t="shared" si="489"/>
        <v>257.6789123954255</v>
      </c>
      <c r="P720" s="59">
        <f t="shared" si="489"/>
        <v>262.8324906433329</v>
      </c>
      <c r="Q720" s="59">
        <f t="shared" si="489"/>
        <v>268.0891404561997</v>
      </c>
      <c r="R720" s="56"/>
      <c r="S720" s="56"/>
      <c r="T720" s="56"/>
      <c r="U720" s="56"/>
      <c r="V720" s="56"/>
      <c r="W720" s="56"/>
      <c r="X720" s="56"/>
      <c r="Y720" s="56"/>
      <c r="Z720" s="56"/>
      <c r="AA720" s="56"/>
      <c r="AB720" s="56"/>
      <c r="AC720" s="56"/>
      <c r="AD720" s="56"/>
      <c r="AE720" s="56"/>
      <c r="AF720" s="56"/>
      <c r="AG720" s="56"/>
      <c r="AH720" s="56"/>
      <c r="AI720" s="56"/>
      <c r="AJ720" s="56"/>
      <c r="AK720" s="56"/>
      <c r="AL720" s="56"/>
      <c r="AM720" s="56"/>
      <c r="AN720" s="56"/>
      <c r="AO720" s="56"/>
    </row>
    <row r="721" spans="1:17" ht="12" customHeight="1">
      <c r="A721" s="45"/>
      <c r="B721" s="42"/>
      <c r="C721" s="39" t="s">
        <v>86</v>
      </c>
      <c r="D721" s="42"/>
      <c r="E721" s="59">
        <f aca="true" t="shared" si="490" ref="E721:Q721">E$40-D718*(D669-D$49)</f>
        <v>-40.414124718256744</v>
      </c>
      <c r="F721" s="59">
        <f t="shared" si="490"/>
        <v>-186.03553719008235</v>
      </c>
      <c r="G721" s="59">
        <f t="shared" si="490"/>
        <v>106.94090909090937</v>
      </c>
      <c r="H721" s="59">
        <f t="shared" si="490"/>
        <v>164.3250000000004</v>
      </c>
      <c r="I721" s="59">
        <f t="shared" si="490"/>
        <v>167.61150000000032</v>
      </c>
      <c r="J721" s="59">
        <f t="shared" si="490"/>
        <v>170.96373000000045</v>
      </c>
      <c r="K721" s="59">
        <f t="shared" si="490"/>
        <v>174.38300460000028</v>
      </c>
      <c r="L721" s="59">
        <f t="shared" si="490"/>
        <v>177.8706646919999</v>
      </c>
      <c r="M721" s="59">
        <f t="shared" si="490"/>
        <v>181.42807798584056</v>
      </c>
      <c r="N721" s="59">
        <f t="shared" si="490"/>
        <v>185.0566395455573</v>
      </c>
      <c r="O721" s="59">
        <f t="shared" si="490"/>
        <v>188.75777233646892</v>
      </c>
      <c r="P721" s="59">
        <f t="shared" si="490"/>
        <v>192.53292778319718</v>
      </c>
      <c r="Q721" s="59">
        <f t="shared" si="490"/>
        <v>196.383586338861</v>
      </c>
    </row>
    <row r="722" spans="1:16" ht="14.25" customHeight="1">
      <c r="A722" s="16"/>
      <c r="B722" s="104"/>
      <c r="C722" s="92"/>
      <c r="D722" s="105"/>
      <c r="E722" s="105"/>
      <c r="F722" s="105"/>
      <c r="G722" s="50"/>
      <c r="H722" s="105"/>
      <c r="I722" s="105"/>
      <c r="J722" s="43"/>
      <c r="K722" s="43"/>
      <c r="L722" s="43"/>
      <c r="M722" s="102"/>
      <c r="N722" s="43"/>
      <c r="O722" s="43"/>
      <c r="P722" s="43"/>
    </row>
    <row r="723" spans="1:17" ht="14.25" customHeight="1" hidden="1">
      <c r="A723" s="16"/>
      <c r="B723" s="104"/>
      <c r="C723" s="4" t="s">
        <v>2</v>
      </c>
      <c r="D723" s="105">
        <f aca="true" t="shared" si="491" ref="D723:P723">D$49</f>
        <v>0.06</v>
      </c>
      <c r="E723" s="105">
        <f t="shared" si="491"/>
        <v>0.06</v>
      </c>
      <c r="F723" s="105">
        <f t="shared" si="491"/>
        <v>0.06</v>
      </c>
      <c r="G723" s="105">
        <f t="shared" si="491"/>
        <v>0.06</v>
      </c>
      <c r="H723" s="105">
        <f t="shared" si="491"/>
        <v>0.06</v>
      </c>
      <c r="I723" s="105">
        <f t="shared" si="491"/>
        <v>0.06</v>
      </c>
      <c r="J723" s="105">
        <f t="shared" si="491"/>
        <v>0.06</v>
      </c>
      <c r="K723" s="105">
        <f t="shared" si="491"/>
        <v>0.06</v>
      </c>
      <c r="L723" s="105">
        <f t="shared" si="491"/>
        <v>0.06</v>
      </c>
      <c r="M723" s="105">
        <f t="shared" si="491"/>
        <v>0.06</v>
      </c>
      <c r="N723" s="105">
        <f t="shared" si="491"/>
        <v>0.06</v>
      </c>
      <c r="O723" s="105">
        <f t="shared" si="491"/>
        <v>0.06</v>
      </c>
      <c r="P723" s="105">
        <f t="shared" si="491"/>
        <v>0.06</v>
      </c>
      <c r="Q723" s="49">
        <f>P723</f>
        <v>0.06</v>
      </c>
    </row>
    <row r="724" spans="1:17" ht="14.25" customHeight="1" hidden="1">
      <c r="A724" s="16"/>
      <c r="C724" s="158" t="s">
        <v>91</v>
      </c>
      <c r="D724" s="12">
        <v>1</v>
      </c>
      <c r="E724" s="12">
        <f>1/(1+D723)</f>
        <v>0.9433962264150942</v>
      </c>
      <c r="F724" s="12">
        <f aca="true" t="shared" si="492" ref="F724:Q724">E724/(1+E723)</f>
        <v>0.8899964400142398</v>
      </c>
      <c r="G724" s="98">
        <f t="shared" si="492"/>
        <v>0.8396192830323017</v>
      </c>
      <c r="H724" s="12">
        <f t="shared" si="492"/>
        <v>0.7920936632380204</v>
      </c>
      <c r="I724" s="12">
        <f t="shared" si="492"/>
        <v>0.747258172866057</v>
      </c>
      <c r="J724" s="12">
        <f t="shared" si="492"/>
        <v>0.7049605404396764</v>
      </c>
      <c r="K724" s="12">
        <f t="shared" si="492"/>
        <v>0.6650571136223362</v>
      </c>
      <c r="L724" s="12">
        <f t="shared" si="492"/>
        <v>0.6274123713418266</v>
      </c>
      <c r="M724" s="98">
        <f t="shared" si="492"/>
        <v>0.5918984635300251</v>
      </c>
      <c r="N724" s="12">
        <f t="shared" si="492"/>
        <v>0.558394776915118</v>
      </c>
      <c r="O724" s="12">
        <f t="shared" si="492"/>
        <v>0.5267875253916207</v>
      </c>
      <c r="P724" s="12">
        <f t="shared" si="492"/>
        <v>0.4969693635770006</v>
      </c>
      <c r="Q724" s="12">
        <f t="shared" si="492"/>
        <v>0.4688390222424534</v>
      </c>
    </row>
    <row r="725" spans="1:17" ht="14.25" customHeight="1" hidden="1">
      <c r="A725" s="45"/>
      <c r="B725" s="42"/>
      <c r="C725" s="39" t="s">
        <v>87</v>
      </c>
      <c r="D725" s="42"/>
      <c r="E725" s="23">
        <f>E720</f>
        <v>49.58587528174317</v>
      </c>
      <c r="F725" s="23">
        <f aca="true" t="shared" si="493" ref="F725:P725">F720</f>
        <v>-96.03553719008232</v>
      </c>
      <c r="G725" s="23">
        <f t="shared" si="493"/>
        <v>196.94090909090934</v>
      </c>
      <c r="H725" s="23">
        <f t="shared" si="493"/>
        <v>224.32500000000027</v>
      </c>
      <c r="I725" s="23">
        <f t="shared" si="493"/>
        <v>228.81150000000005</v>
      </c>
      <c r="J725" s="23">
        <f t="shared" si="493"/>
        <v>233.3877300000005</v>
      </c>
      <c r="K725" s="23">
        <f t="shared" si="493"/>
        <v>238.05548460000006</v>
      </c>
      <c r="L725" s="23">
        <f t="shared" si="493"/>
        <v>242.81659429199982</v>
      </c>
      <c r="M725" s="23">
        <f t="shared" si="493"/>
        <v>247.67292617784048</v>
      </c>
      <c r="N725" s="23">
        <f t="shared" si="493"/>
        <v>252.62638470139726</v>
      </c>
      <c r="O725" s="23">
        <f t="shared" si="493"/>
        <v>257.6789123954255</v>
      </c>
      <c r="P725" s="23">
        <f t="shared" si="493"/>
        <v>262.8324906433329</v>
      </c>
      <c r="Q725" s="1">
        <f>P725*(1+O$5)+P725*(1+O$5)*(1+O$5)/(P723-O$5)</f>
        <v>7104.36222208929</v>
      </c>
    </row>
    <row r="726" spans="1:17" ht="14.25" customHeight="1" hidden="1">
      <c r="A726" s="16"/>
      <c r="C726" s="21" t="s">
        <v>38</v>
      </c>
      <c r="D726" s="1"/>
      <c r="E726" s="1">
        <f aca="true" t="shared" si="494" ref="E726:Q726">E725*E724</f>
        <v>46.779127624286005</v>
      </c>
      <c r="F726" s="1">
        <f t="shared" si="494"/>
        <v>-85.4712862140284</v>
      </c>
      <c r="G726" s="29">
        <f t="shared" si="494"/>
        <v>165.35538489063902</v>
      </c>
      <c r="H726" s="1">
        <f t="shared" si="494"/>
        <v>177.68641100586916</v>
      </c>
      <c r="I726" s="1">
        <f t="shared" si="494"/>
        <v>170.98126342074184</v>
      </c>
      <c r="J726" s="1">
        <f t="shared" si="494"/>
        <v>164.52914027278962</v>
      </c>
      <c r="K726" s="1">
        <f t="shared" si="494"/>
        <v>158.32049347004255</v>
      </c>
      <c r="L726" s="1">
        <f t="shared" si="494"/>
        <v>152.34613522588984</v>
      </c>
      <c r="M726" s="29">
        <f t="shared" si="494"/>
        <v>146.5972244626491</v>
      </c>
      <c r="N726" s="1">
        <f t="shared" si="494"/>
        <v>141.06525372820948</v>
      </c>
      <c r="O726" s="1">
        <f t="shared" si="494"/>
        <v>135.74203660639043</v>
      </c>
      <c r="P726" s="1">
        <f t="shared" si="494"/>
        <v>130.61969560237512</v>
      </c>
      <c r="Q726" s="1">
        <f t="shared" si="494"/>
        <v>3330.8022378605665</v>
      </c>
    </row>
    <row r="727" spans="1:16" ht="14.25" customHeight="1">
      <c r="A727" s="16"/>
      <c r="B727" s="157" t="s">
        <v>89</v>
      </c>
      <c r="C727" s="156" t="s">
        <v>88</v>
      </c>
      <c r="D727" s="18">
        <f>SUM(E726:$Q726)/D724</f>
        <v>4835.35311795642</v>
      </c>
      <c r="E727" s="18">
        <f>SUM(F726:$Q726)/E724</f>
        <v>5075.888429752063</v>
      </c>
      <c r="F727" s="18">
        <f>SUM(G726:$Q726)/F724</f>
        <v>5476.477272727268</v>
      </c>
      <c r="G727" s="91">
        <f>SUM(H726:$Q726)/G724</f>
        <v>5608.124999999996</v>
      </c>
      <c r="H727" s="18">
        <f>SUM(I726:$Q726)/H724</f>
        <v>5720.287499999996</v>
      </c>
      <c r="I727" s="18">
        <f>SUM(J726:$Q726)/I724</f>
        <v>5834.693249999995</v>
      </c>
      <c r="J727" s="18">
        <f>SUM(K726:$Q726)/J724</f>
        <v>5951.387114999996</v>
      </c>
      <c r="K727" s="18">
        <f>SUM(L726:$Q726)/K724</f>
        <v>6070.414857299995</v>
      </c>
      <c r="L727" s="18">
        <f>SUM(M726:$Q726)/L724</f>
        <v>6191.823154445995</v>
      </c>
      <c r="M727" s="91">
        <f>SUM(N726:$Q726)/M724</f>
        <v>6315.659617534914</v>
      </c>
      <c r="N727" s="18">
        <f>SUM(O726:$Q726)/N724</f>
        <v>6441.972809885612</v>
      </c>
      <c r="O727" s="18">
        <f>SUM(P726:$Q726)/O724</f>
        <v>6570.812266083324</v>
      </c>
      <c r="P727" s="18">
        <f>SUM(Q726:$Q726)/P724</f>
        <v>6702.228511404991</v>
      </c>
    </row>
    <row r="728" spans="1:16" ht="14.25" customHeight="1">
      <c r="A728" s="16"/>
      <c r="B728" s="4" t="s">
        <v>48</v>
      </c>
      <c r="C728" s="39" t="s">
        <v>90</v>
      </c>
      <c r="D728" s="38">
        <f aca="true" t="shared" si="495" ref="D728:P728">D727-D$62</f>
        <v>3335.3531179564216</v>
      </c>
      <c r="E728" s="38">
        <f t="shared" si="495"/>
        <v>3575.8884297520644</v>
      </c>
      <c r="F728" s="38">
        <f t="shared" si="495"/>
        <v>3976.4772727272702</v>
      </c>
      <c r="G728" s="38">
        <f t="shared" si="495"/>
        <v>4108.124999999998</v>
      </c>
      <c r="H728" s="38">
        <f t="shared" si="495"/>
        <v>4190.287499999998</v>
      </c>
      <c r="I728" s="38">
        <f t="shared" si="495"/>
        <v>4274.093249999996</v>
      </c>
      <c r="J728" s="38">
        <f t="shared" si="495"/>
        <v>4359.575114999998</v>
      </c>
      <c r="K728" s="38">
        <f t="shared" si="495"/>
        <v>4446.766617299996</v>
      </c>
      <c r="L728" s="38">
        <f t="shared" si="495"/>
        <v>4535.701949645997</v>
      </c>
      <c r="M728" s="38">
        <f t="shared" si="495"/>
        <v>4626.415988638915</v>
      </c>
      <c r="N728" s="38">
        <f t="shared" si="495"/>
        <v>4718.944308411694</v>
      </c>
      <c r="O728" s="38">
        <f t="shared" si="495"/>
        <v>4813.323194579927</v>
      </c>
      <c r="P728" s="38">
        <f t="shared" si="495"/>
        <v>4909.5896584715265</v>
      </c>
    </row>
    <row r="729" spans="1:16" ht="14.25" customHeight="1">
      <c r="A729" s="16"/>
      <c r="B729" s="104"/>
      <c r="C729" s="92"/>
      <c r="D729" s="105"/>
      <c r="E729" s="105"/>
      <c r="F729" s="105"/>
      <c r="G729" s="50"/>
      <c r="H729" s="105"/>
      <c r="I729" s="105"/>
      <c r="J729" s="43"/>
      <c r="K729" s="43"/>
      <c r="L729" s="43"/>
      <c r="M729" s="102"/>
      <c r="N729" s="43"/>
      <c r="O729" s="43"/>
      <c r="P729" s="43"/>
    </row>
    <row r="730" spans="1:17" ht="14.25" customHeight="1" hidden="1">
      <c r="A730" s="16"/>
      <c r="B730" s="104"/>
      <c r="C730" s="4" t="s">
        <v>2</v>
      </c>
      <c r="D730" s="105">
        <f aca="true" t="shared" si="496" ref="D730:P730">D$49</f>
        <v>0.06</v>
      </c>
      <c r="E730" s="105">
        <f t="shared" si="496"/>
        <v>0.06</v>
      </c>
      <c r="F730" s="105">
        <f t="shared" si="496"/>
        <v>0.06</v>
      </c>
      <c r="G730" s="105">
        <f t="shared" si="496"/>
        <v>0.06</v>
      </c>
      <c r="H730" s="105">
        <f t="shared" si="496"/>
        <v>0.06</v>
      </c>
      <c r="I730" s="105">
        <f t="shared" si="496"/>
        <v>0.06</v>
      </c>
      <c r="J730" s="105">
        <f t="shared" si="496"/>
        <v>0.06</v>
      </c>
      <c r="K730" s="105">
        <f t="shared" si="496"/>
        <v>0.06</v>
      </c>
      <c r="L730" s="105">
        <f t="shared" si="496"/>
        <v>0.06</v>
      </c>
      <c r="M730" s="105">
        <f t="shared" si="496"/>
        <v>0.06</v>
      </c>
      <c r="N730" s="105">
        <f t="shared" si="496"/>
        <v>0.06</v>
      </c>
      <c r="O730" s="105">
        <f t="shared" si="496"/>
        <v>0.06</v>
      </c>
      <c r="P730" s="105">
        <f t="shared" si="496"/>
        <v>0.06</v>
      </c>
      <c r="Q730" s="49">
        <f>P730</f>
        <v>0.06</v>
      </c>
    </row>
    <row r="731" spans="1:17" ht="14.25" customHeight="1" hidden="1">
      <c r="A731" s="16"/>
      <c r="C731" s="158" t="s">
        <v>91</v>
      </c>
      <c r="D731" s="12">
        <v>1</v>
      </c>
      <c r="E731" s="12">
        <f>1/(1+D730)</f>
        <v>0.9433962264150942</v>
      </c>
      <c r="F731" s="12">
        <f aca="true" t="shared" si="497" ref="F731:Q731">E731/(1+E730)</f>
        <v>0.8899964400142398</v>
      </c>
      <c r="G731" s="98">
        <f t="shared" si="497"/>
        <v>0.8396192830323017</v>
      </c>
      <c r="H731" s="12">
        <f t="shared" si="497"/>
        <v>0.7920936632380204</v>
      </c>
      <c r="I731" s="12">
        <f t="shared" si="497"/>
        <v>0.747258172866057</v>
      </c>
      <c r="J731" s="12">
        <f t="shared" si="497"/>
        <v>0.7049605404396764</v>
      </c>
      <c r="K731" s="12">
        <f t="shared" si="497"/>
        <v>0.6650571136223362</v>
      </c>
      <c r="L731" s="12">
        <f t="shared" si="497"/>
        <v>0.6274123713418266</v>
      </c>
      <c r="M731" s="98">
        <f t="shared" si="497"/>
        <v>0.5918984635300251</v>
      </c>
      <c r="N731" s="12">
        <f t="shared" si="497"/>
        <v>0.558394776915118</v>
      </c>
      <c r="O731" s="12">
        <f t="shared" si="497"/>
        <v>0.5267875253916207</v>
      </c>
      <c r="P731" s="12">
        <f t="shared" si="497"/>
        <v>0.4969693635770006</v>
      </c>
      <c r="Q731" s="12">
        <f t="shared" si="497"/>
        <v>0.4688390222424534</v>
      </c>
    </row>
    <row r="732" spans="1:17" ht="14.25" customHeight="1" hidden="1">
      <c r="A732" s="45"/>
      <c r="B732" s="42"/>
      <c r="C732" s="39" t="s">
        <v>86</v>
      </c>
      <c r="D732" s="42"/>
      <c r="E732" s="23">
        <f>E721</f>
        <v>-40.414124718256744</v>
      </c>
      <c r="F732" s="23">
        <f aca="true" t="shared" si="498" ref="F732:P732">F721</f>
        <v>-186.03553719008235</v>
      </c>
      <c r="G732" s="23">
        <f t="shared" si="498"/>
        <v>106.94090909090937</v>
      </c>
      <c r="H732" s="23">
        <f t="shared" si="498"/>
        <v>164.3250000000004</v>
      </c>
      <c r="I732" s="23">
        <f t="shared" si="498"/>
        <v>167.61150000000032</v>
      </c>
      <c r="J732" s="23">
        <f t="shared" si="498"/>
        <v>170.96373000000045</v>
      </c>
      <c r="K732" s="23">
        <f t="shared" si="498"/>
        <v>174.38300460000028</v>
      </c>
      <c r="L732" s="23">
        <f t="shared" si="498"/>
        <v>177.8706646919999</v>
      </c>
      <c r="M732" s="23">
        <f t="shared" si="498"/>
        <v>181.42807798584056</v>
      </c>
      <c r="N732" s="23">
        <f t="shared" si="498"/>
        <v>185.0566395455573</v>
      </c>
      <c r="O732" s="23">
        <f t="shared" si="498"/>
        <v>188.75777233646892</v>
      </c>
      <c r="P732" s="23">
        <f t="shared" si="498"/>
        <v>192.53292778319718</v>
      </c>
      <c r="Q732" s="1">
        <f>P732*(1+O$5)+P732*(1+O$5)*(1+O$5)/(P730-O$5)</f>
        <v>5204.165037979821</v>
      </c>
    </row>
    <row r="733" spans="1:17" ht="14.25" customHeight="1" hidden="1">
      <c r="A733" s="16"/>
      <c r="C733" s="158" t="s">
        <v>54</v>
      </c>
      <c r="D733" s="1"/>
      <c r="E733" s="1">
        <f aca="true" t="shared" si="499" ref="E733:Q733">E732*E731</f>
        <v>-38.1265327530724</v>
      </c>
      <c r="F733" s="1">
        <f t="shared" si="499"/>
        <v>-165.57096581531002</v>
      </c>
      <c r="G733" s="29">
        <f t="shared" si="499"/>
        <v>89.78964941773188</v>
      </c>
      <c r="H733" s="1">
        <f t="shared" si="499"/>
        <v>130.16079121158802</v>
      </c>
      <c r="I733" s="1">
        <f t="shared" si="499"/>
        <v>125.24906324133936</v>
      </c>
      <c r="J733" s="1">
        <f t="shared" si="499"/>
        <v>120.52268349638324</v>
      </c>
      <c r="K733" s="1">
        <f t="shared" si="499"/>
        <v>115.97465770406676</v>
      </c>
      <c r="L733" s="1">
        <f t="shared" si="499"/>
        <v>111.59825552655457</v>
      </c>
      <c r="M733" s="29">
        <f t="shared" si="499"/>
        <v>107.3870006010246</v>
      </c>
      <c r="N733" s="1">
        <f t="shared" si="499"/>
        <v>103.33466095570286</v>
      </c>
      <c r="O733" s="1">
        <f t="shared" si="499"/>
        <v>99.43523978756338</v>
      </c>
      <c r="P733" s="1">
        <f t="shared" si="499"/>
        <v>95.68296658803212</v>
      </c>
      <c r="Q733" s="1">
        <f t="shared" si="499"/>
        <v>2439.9156479948197</v>
      </c>
    </row>
    <row r="734" spans="1:16" ht="14.25" customHeight="1">
      <c r="A734" s="16"/>
      <c r="B734" s="157"/>
      <c r="C734" s="156" t="s">
        <v>92</v>
      </c>
      <c r="D734" s="52">
        <f>SUM(E733:$Q733)/D731</f>
        <v>3335.3531179564243</v>
      </c>
      <c r="E734" s="52">
        <f>SUM(F733:$Q733)/E731</f>
        <v>3575.8884297520663</v>
      </c>
      <c r="F734" s="52">
        <f>SUM(G733:$Q733)/F731</f>
        <v>3976.4772727272725</v>
      </c>
      <c r="G734" s="159">
        <f>SUM(H733:$Q733)/G731</f>
        <v>4108.125</v>
      </c>
      <c r="H734" s="52">
        <f>SUM(I733:$Q733)/H731</f>
        <v>4190.287499999999</v>
      </c>
      <c r="I734" s="52">
        <f>SUM(J733:$Q733)/I731</f>
        <v>4274.09325</v>
      </c>
      <c r="J734" s="52">
        <f>SUM(K733:$Q733)/J731</f>
        <v>4359.575115</v>
      </c>
      <c r="K734" s="52">
        <f>SUM(L733:$Q733)/K731</f>
        <v>4446.766617299999</v>
      </c>
      <c r="L734" s="52">
        <f>SUM(M733:$Q733)/L731</f>
        <v>4535.701949645999</v>
      </c>
      <c r="M734" s="159">
        <f>SUM(N733:$Q733)/M731</f>
        <v>4626.415988638919</v>
      </c>
      <c r="N734" s="52">
        <f>SUM(O733:$Q733)/N731</f>
        <v>4718.944308411697</v>
      </c>
      <c r="O734" s="52">
        <f>SUM(P733:$Q733)/O731</f>
        <v>4813.323194579931</v>
      </c>
      <c r="P734" s="52">
        <f>SUM(Q733:$Q733)/P731</f>
        <v>4909.589658471529</v>
      </c>
    </row>
    <row r="735" ht="10.5">
      <c r="D735" s="6">
        <f>(D734+D728+D718+D711+D702+D697+D689+D681+D673+D665)/10</f>
        <v>3335.353117956422</v>
      </c>
    </row>
    <row r="736" spans="2:17" ht="10.5">
      <c r="B736" s="104" t="s">
        <v>95</v>
      </c>
      <c r="C736" s="104" t="s">
        <v>95</v>
      </c>
      <c r="D736" s="104" t="s">
        <v>95</v>
      </c>
      <c r="E736" s="104" t="s">
        <v>95</v>
      </c>
      <c r="F736" s="104" t="s">
        <v>95</v>
      </c>
      <c r="G736" s="104" t="s">
        <v>95</v>
      </c>
      <c r="H736" s="104" t="s">
        <v>95</v>
      </c>
      <c r="I736" s="104" t="s">
        <v>95</v>
      </c>
      <c r="J736" s="104" t="s">
        <v>95</v>
      </c>
      <c r="K736" s="104" t="s">
        <v>95</v>
      </c>
      <c r="L736" s="104" t="s">
        <v>95</v>
      </c>
      <c r="M736" s="104" t="s">
        <v>95</v>
      </c>
      <c r="N736" s="104" t="s">
        <v>95</v>
      </c>
      <c r="O736" s="104" t="s">
        <v>95</v>
      </c>
      <c r="P736" s="104" t="s">
        <v>95</v>
      </c>
      <c r="Q736" s="104" t="s">
        <v>95</v>
      </c>
    </row>
    <row r="738" spans="1:41" s="7" customFormat="1" ht="15.75" customHeight="1">
      <c r="A738" s="55"/>
      <c r="B738" s="56"/>
      <c r="C738" s="56"/>
      <c r="D738" s="92"/>
      <c r="E738" s="61"/>
      <c r="F738" s="155" t="s">
        <v>116</v>
      </c>
      <c r="G738" s="62"/>
      <c r="H738" s="61"/>
      <c r="I738" s="61"/>
      <c r="J738" s="61"/>
      <c r="K738" s="61"/>
      <c r="L738" s="61"/>
      <c r="M738" s="61"/>
      <c r="N738" s="61"/>
      <c r="O738" s="61"/>
      <c r="P738" s="61"/>
      <c r="Q738" s="4"/>
      <c r="R738" s="56"/>
      <c r="S738" s="56"/>
      <c r="T738" s="56"/>
      <c r="U738" s="56"/>
      <c r="V738" s="56"/>
      <c r="W738" s="56"/>
      <c r="X738" s="56"/>
      <c r="Y738" s="56"/>
      <c r="Z738" s="56"/>
      <c r="AA738" s="56"/>
      <c r="AB738" s="56"/>
      <c r="AC738" s="56"/>
      <c r="AD738" s="56"/>
      <c r="AE738" s="56"/>
      <c r="AF738" s="56"/>
      <c r="AG738" s="56"/>
      <c r="AH738" s="56"/>
      <c r="AI738" s="56"/>
      <c r="AJ738" s="56"/>
      <c r="AK738" s="56"/>
      <c r="AL738" s="56"/>
      <c r="AM738" s="56"/>
      <c r="AN738" s="56"/>
      <c r="AO738" s="56"/>
    </row>
    <row r="739" spans="1:41" s="7" customFormat="1" ht="12" customHeight="1">
      <c r="A739" s="55"/>
      <c r="B739" s="56"/>
      <c r="C739" s="56"/>
      <c r="D739" s="92"/>
      <c r="E739" s="61"/>
      <c r="F739" s="61"/>
      <c r="G739" s="62"/>
      <c r="H739" s="61"/>
      <c r="I739" s="61"/>
      <c r="J739" s="61"/>
      <c r="K739" s="61"/>
      <c r="L739" s="61"/>
      <c r="M739" s="61"/>
      <c r="N739" s="61"/>
      <c r="O739" s="61"/>
      <c r="P739" s="61"/>
      <c r="Q739" s="4"/>
      <c r="R739" s="56"/>
      <c r="S739" s="56"/>
      <c r="T739" s="56"/>
      <c r="U739" s="56"/>
      <c r="V739" s="56"/>
      <c r="W739" s="56"/>
      <c r="X739" s="56"/>
      <c r="Y739" s="56"/>
      <c r="Z739" s="56"/>
      <c r="AA739" s="56"/>
      <c r="AB739" s="56"/>
      <c r="AC739" s="56"/>
      <c r="AD739" s="56"/>
      <c r="AE739" s="56"/>
      <c r="AF739" s="56"/>
      <c r="AG739" s="56"/>
      <c r="AH739" s="56"/>
      <c r="AI739" s="56"/>
      <c r="AJ739" s="56"/>
      <c r="AK739" s="56"/>
      <c r="AL739" s="56"/>
      <c r="AM739" s="56"/>
      <c r="AN739" s="56"/>
      <c r="AO739" s="56"/>
    </row>
    <row r="740" spans="1:17" ht="12" customHeight="1" thickBot="1">
      <c r="A740" s="16"/>
      <c r="B740"/>
      <c r="C740"/>
      <c r="D740" s="66">
        <v>0</v>
      </c>
      <c r="E740" s="66">
        <v>1</v>
      </c>
      <c r="F740" s="66">
        <f aca="true" t="shared" si="500" ref="F740:Q740">E740+1</f>
        <v>2</v>
      </c>
      <c r="G740" s="150">
        <f t="shared" si="500"/>
        <v>3</v>
      </c>
      <c r="H740" s="66">
        <f t="shared" si="500"/>
        <v>4</v>
      </c>
      <c r="I740" s="103">
        <f t="shared" si="500"/>
        <v>5</v>
      </c>
      <c r="J740" s="103">
        <f t="shared" si="500"/>
        <v>6</v>
      </c>
      <c r="K740" s="103">
        <f t="shared" si="500"/>
        <v>7</v>
      </c>
      <c r="L740" s="103">
        <f t="shared" si="500"/>
        <v>8</v>
      </c>
      <c r="M740" s="111">
        <f t="shared" si="500"/>
        <v>9</v>
      </c>
      <c r="N740" s="103">
        <f t="shared" si="500"/>
        <v>10</v>
      </c>
      <c r="O740" s="103">
        <f t="shared" si="500"/>
        <v>11</v>
      </c>
      <c r="P740" s="103">
        <f t="shared" si="500"/>
        <v>12</v>
      </c>
      <c r="Q740" s="103">
        <f t="shared" si="500"/>
        <v>13</v>
      </c>
    </row>
    <row r="741" spans="1:17" ht="12" customHeight="1">
      <c r="A741" s="16"/>
      <c r="C741" s="4" t="s">
        <v>35</v>
      </c>
      <c r="D741" s="43">
        <f>$D$1</f>
        <v>1</v>
      </c>
      <c r="E741" s="43">
        <f aca="true" t="shared" si="501" ref="E741:Q741">D741</f>
        <v>1</v>
      </c>
      <c r="F741" s="43">
        <f t="shared" si="501"/>
        <v>1</v>
      </c>
      <c r="G741" s="143">
        <f t="shared" si="501"/>
        <v>1</v>
      </c>
      <c r="H741" s="43">
        <f t="shared" si="501"/>
        <v>1</v>
      </c>
      <c r="I741" s="43">
        <f t="shared" si="501"/>
        <v>1</v>
      </c>
      <c r="J741" s="43">
        <f t="shared" si="501"/>
        <v>1</v>
      </c>
      <c r="K741" s="43">
        <f t="shared" si="501"/>
        <v>1</v>
      </c>
      <c r="L741" s="43">
        <f t="shared" si="501"/>
        <v>1</v>
      </c>
      <c r="M741" s="8">
        <f t="shared" si="501"/>
        <v>1</v>
      </c>
      <c r="N741" s="43">
        <f t="shared" si="501"/>
        <v>1</v>
      </c>
      <c r="O741" s="43">
        <f t="shared" si="501"/>
        <v>1</v>
      </c>
      <c r="P741" s="8">
        <f t="shared" si="501"/>
        <v>1</v>
      </c>
      <c r="Q741" s="161">
        <f t="shared" si="501"/>
        <v>1</v>
      </c>
    </row>
    <row r="742" spans="1:17" ht="12" customHeight="1">
      <c r="A742" s="16"/>
      <c r="C742" s="4" t="s">
        <v>2</v>
      </c>
      <c r="D742" s="11">
        <f>$D$2</f>
        <v>0.06</v>
      </c>
      <c r="E742" s="11">
        <f aca="true" t="shared" si="502" ref="E742:Q742">D742</f>
        <v>0.06</v>
      </c>
      <c r="F742" s="11">
        <f t="shared" si="502"/>
        <v>0.06</v>
      </c>
      <c r="G742" s="54">
        <f t="shared" si="502"/>
        <v>0.06</v>
      </c>
      <c r="H742" s="11">
        <f t="shared" si="502"/>
        <v>0.06</v>
      </c>
      <c r="I742" s="11">
        <f t="shared" si="502"/>
        <v>0.06</v>
      </c>
      <c r="J742" s="11">
        <f t="shared" si="502"/>
        <v>0.06</v>
      </c>
      <c r="K742" s="11">
        <f t="shared" si="502"/>
        <v>0.06</v>
      </c>
      <c r="L742" s="11">
        <f t="shared" si="502"/>
        <v>0.06</v>
      </c>
      <c r="M742" s="54">
        <f t="shared" si="502"/>
        <v>0.06</v>
      </c>
      <c r="N742" s="11">
        <f t="shared" si="502"/>
        <v>0.06</v>
      </c>
      <c r="O742" s="11">
        <f t="shared" si="502"/>
        <v>0.06</v>
      </c>
      <c r="P742" s="11">
        <f t="shared" si="502"/>
        <v>0.06</v>
      </c>
      <c r="Q742" s="11">
        <f t="shared" si="502"/>
        <v>0.06</v>
      </c>
    </row>
    <row r="743" spans="1:17" ht="12" customHeight="1">
      <c r="A743" s="16"/>
      <c r="C743" s="21" t="s">
        <v>115</v>
      </c>
      <c r="D743" s="11">
        <f>$D$3</f>
        <v>0.04</v>
      </c>
      <c r="E743" s="11">
        <f aca="true" t="shared" si="503" ref="E743:Q743">D743</f>
        <v>0.04</v>
      </c>
      <c r="F743" s="11">
        <f t="shared" si="503"/>
        <v>0.04</v>
      </c>
      <c r="G743" s="54">
        <f t="shared" si="503"/>
        <v>0.04</v>
      </c>
      <c r="H743" s="11">
        <f t="shared" si="503"/>
        <v>0.04</v>
      </c>
      <c r="I743" s="11">
        <f t="shared" si="503"/>
        <v>0.04</v>
      </c>
      <c r="J743" s="11">
        <f t="shared" si="503"/>
        <v>0.04</v>
      </c>
      <c r="K743" s="11">
        <f t="shared" si="503"/>
        <v>0.04</v>
      </c>
      <c r="L743" s="11">
        <f t="shared" si="503"/>
        <v>0.04</v>
      </c>
      <c r="M743" s="54">
        <f t="shared" si="503"/>
        <v>0.04</v>
      </c>
      <c r="N743" s="11">
        <f t="shared" si="503"/>
        <v>0.04</v>
      </c>
      <c r="O743" s="11">
        <f t="shared" si="503"/>
        <v>0.04</v>
      </c>
      <c r="P743" s="11">
        <f t="shared" si="503"/>
        <v>0.04</v>
      </c>
      <c r="Q743" s="11">
        <f t="shared" si="503"/>
        <v>0.04</v>
      </c>
    </row>
    <row r="744" spans="1:41" s="7" customFormat="1" ht="11.25" customHeight="1">
      <c r="A744" s="16"/>
      <c r="C744" s="7" t="s">
        <v>36</v>
      </c>
      <c r="D744" s="51">
        <f aca="true" t="shared" si="504" ref="D744:Q744">D742+D741*D743</f>
        <v>0.1</v>
      </c>
      <c r="E744" s="51">
        <f t="shared" si="504"/>
        <v>0.1</v>
      </c>
      <c r="F744" s="51">
        <f t="shared" si="504"/>
        <v>0.1</v>
      </c>
      <c r="G744" s="50">
        <f t="shared" si="504"/>
        <v>0.1</v>
      </c>
      <c r="H744" s="51">
        <f t="shared" si="504"/>
        <v>0.1</v>
      </c>
      <c r="I744" s="51">
        <f t="shared" si="504"/>
        <v>0.1</v>
      </c>
      <c r="J744" s="51">
        <f t="shared" si="504"/>
        <v>0.1</v>
      </c>
      <c r="K744" s="51">
        <f t="shared" si="504"/>
        <v>0.1</v>
      </c>
      <c r="L744" s="51">
        <f t="shared" si="504"/>
        <v>0.1</v>
      </c>
      <c r="M744" s="50">
        <f t="shared" si="504"/>
        <v>0.1</v>
      </c>
      <c r="N744" s="51">
        <f t="shared" si="504"/>
        <v>0.1</v>
      </c>
      <c r="O744" s="51">
        <f t="shared" si="504"/>
        <v>0.1</v>
      </c>
      <c r="P744" s="51">
        <f t="shared" si="504"/>
        <v>0.1</v>
      </c>
      <c r="Q744" s="51">
        <f t="shared" si="504"/>
        <v>0.1</v>
      </c>
      <c r="R744" s="56"/>
      <c r="S744" s="56"/>
      <c r="T744" s="56"/>
      <c r="U744" s="56"/>
      <c r="V744" s="56"/>
      <c r="W744" s="56"/>
      <c r="X744" s="56"/>
      <c r="Y744" s="56"/>
      <c r="Z744" s="56"/>
      <c r="AA744" s="56"/>
      <c r="AB744" s="56"/>
      <c r="AC744" s="56"/>
      <c r="AD744" s="56"/>
      <c r="AE744" s="56"/>
      <c r="AF744" s="56"/>
      <c r="AG744" s="56"/>
      <c r="AH744" s="56"/>
      <c r="AI744" s="56"/>
      <c r="AJ744" s="56"/>
      <c r="AK744" s="56"/>
      <c r="AL744" s="56"/>
      <c r="AM744" s="56"/>
      <c r="AN744" s="56"/>
      <c r="AO744" s="56"/>
    </row>
    <row r="745" spans="1:41" s="7" customFormat="1" ht="11.25" customHeight="1" hidden="1">
      <c r="A745" s="16"/>
      <c r="C745" s="21" t="s">
        <v>37</v>
      </c>
      <c r="D745" s="12">
        <v>1</v>
      </c>
      <c r="E745" s="85">
        <f aca="true" t="shared" si="505" ref="E745:Q745">D745/(1+D744)</f>
        <v>0.9090909090909091</v>
      </c>
      <c r="F745" s="85">
        <f t="shared" si="505"/>
        <v>0.8264462809917354</v>
      </c>
      <c r="G745" s="94">
        <f t="shared" si="505"/>
        <v>0.7513148009015777</v>
      </c>
      <c r="H745" s="85">
        <f t="shared" si="505"/>
        <v>0.6830134553650705</v>
      </c>
      <c r="I745" s="85">
        <f t="shared" si="505"/>
        <v>0.6209213230591549</v>
      </c>
      <c r="J745" s="85">
        <f t="shared" si="505"/>
        <v>0.5644739300537771</v>
      </c>
      <c r="K745" s="85">
        <f t="shared" si="505"/>
        <v>0.5131581182307065</v>
      </c>
      <c r="L745" s="85">
        <f t="shared" si="505"/>
        <v>0.4665073802097331</v>
      </c>
      <c r="M745" s="94">
        <f t="shared" si="505"/>
        <v>0.4240976183724846</v>
      </c>
      <c r="N745" s="85">
        <f t="shared" si="505"/>
        <v>0.3855432894295314</v>
      </c>
      <c r="O745" s="85">
        <f t="shared" si="505"/>
        <v>0.35049389948139215</v>
      </c>
      <c r="P745" s="85">
        <f t="shared" si="505"/>
        <v>0.31863081771035645</v>
      </c>
      <c r="Q745" s="85">
        <f t="shared" si="505"/>
        <v>0.2896643797366877</v>
      </c>
      <c r="R745" s="56"/>
      <c r="S745" s="56"/>
      <c r="T745" s="56"/>
      <c r="U745" s="56"/>
      <c r="V745" s="56"/>
      <c r="W745" s="56"/>
      <c r="X745" s="56"/>
      <c r="Y745" s="56"/>
      <c r="Z745" s="56"/>
      <c r="AA745" s="56"/>
      <c r="AB745" s="56"/>
      <c r="AC745" s="56"/>
      <c r="AD745" s="56"/>
      <c r="AE745" s="56"/>
      <c r="AF745" s="56"/>
      <c r="AG745" s="56"/>
      <c r="AH745" s="56"/>
      <c r="AI745" s="56"/>
      <c r="AJ745" s="56"/>
      <c r="AK745" s="56"/>
      <c r="AL745" s="56"/>
      <c r="AM745" s="56"/>
      <c r="AN745" s="56"/>
      <c r="AO745" s="56"/>
    </row>
    <row r="746" spans="3:17" ht="11.25" customHeight="1" hidden="1">
      <c r="C746" s="4" t="s">
        <v>31</v>
      </c>
      <c r="E746" s="5">
        <f>E$41</f>
        <v>243</v>
      </c>
      <c r="F746" s="5">
        <f aca="true" t="shared" si="506" ref="F746:P746">F$41</f>
        <v>107</v>
      </c>
      <c r="G746" s="5">
        <f t="shared" si="506"/>
        <v>416</v>
      </c>
      <c r="H746" s="5">
        <f t="shared" si="506"/>
        <v>448.6500000000001</v>
      </c>
      <c r="I746" s="5">
        <f t="shared" si="506"/>
        <v>457.6229999999999</v>
      </c>
      <c r="J746" s="5">
        <f t="shared" si="506"/>
        <v>466.7754600000002</v>
      </c>
      <c r="K746" s="5">
        <f t="shared" si="506"/>
        <v>476.1109691999999</v>
      </c>
      <c r="L746" s="5">
        <f t="shared" si="506"/>
        <v>485.63318858399964</v>
      </c>
      <c r="M746" s="5">
        <f t="shared" si="506"/>
        <v>495.3458523556802</v>
      </c>
      <c r="N746" s="5">
        <f t="shared" si="506"/>
        <v>505.2527694027938</v>
      </c>
      <c r="O746" s="5">
        <f t="shared" si="506"/>
        <v>515.35782479085</v>
      </c>
      <c r="P746" s="5">
        <f t="shared" si="506"/>
        <v>525.6649812866659</v>
      </c>
      <c r="Q746" s="162">
        <f>P746*(1+O$5)+P746*(1+O$5)*(1+O$5)/(P744-O$5)</f>
        <v>7372.451362545489</v>
      </c>
    </row>
    <row r="747" spans="3:17" ht="11.25" customHeight="1" hidden="1">
      <c r="C747" s="21" t="s">
        <v>38</v>
      </c>
      <c r="E747" s="5">
        <f>E745*E746</f>
        <v>220.9090909090909</v>
      </c>
      <c r="F747" s="5">
        <f aca="true" t="shared" si="507" ref="F747:Q747">F745*F746</f>
        <v>88.4297520661157</v>
      </c>
      <c r="G747" s="93">
        <f t="shared" si="507"/>
        <v>312.5469571750563</v>
      </c>
      <c r="H747" s="5">
        <f t="shared" si="507"/>
        <v>306.433986749539</v>
      </c>
      <c r="I747" s="5">
        <f t="shared" si="507"/>
        <v>284.1478786222996</v>
      </c>
      <c r="J747" s="5">
        <f t="shared" si="507"/>
        <v>263.4825783588597</v>
      </c>
      <c r="K747" s="5">
        <f t="shared" si="507"/>
        <v>244.32020902366978</v>
      </c>
      <c r="L747" s="5">
        <f t="shared" si="507"/>
        <v>226.55146654922092</v>
      </c>
      <c r="M747" s="93">
        <f t="shared" si="507"/>
        <v>210.07499625473238</v>
      </c>
      <c r="N747" s="5">
        <f t="shared" si="507"/>
        <v>194.79681470893362</v>
      </c>
      <c r="O747" s="5">
        <f t="shared" si="507"/>
        <v>180.6297736391931</v>
      </c>
      <c r="P747" s="5">
        <f t="shared" si="507"/>
        <v>167.49306282906957</v>
      </c>
      <c r="Q747" s="5">
        <f t="shared" si="507"/>
        <v>2135.536551070637</v>
      </c>
    </row>
    <row r="748" spans="1:41" s="77" customFormat="1" ht="11.25" customHeight="1" thickBot="1">
      <c r="A748" s="64"/>
      <c r="C748" s="78" t="s">
        <v>39</v>
      </c>
      <c r="D748" s="79">
        <f>SUM(E747:$Q747)/D745</f>
        <v>4835.353117956418</v>
      </c>
      <c r="E748" s="79">
        <f>SUM(F747:$Q747)/E745</f>
        <v>5075.888429752059</v>
      </c>
      <c r="F748" s="79">
        <f>SUM(G747:$Q747)/F745</f>
        <v>5476.477272727266</v>
      </c>
      <c r="G748" s="95">
        <f>SUM(H747:$Q747)/G745</f>
        <v>5608.124999999993</v>
      </c>
      <c r="H748" s="79">
        <f>SUM(I747:$Q747)/H745</f>
        <v>5720.287499999992</v>
      </c>
      <c r="I748" s="79">
        <f>SUM(J747:$Q747)/I745</f>
        <v>5834.693249999993</v>
      </c>
      <c r="J748" s="79">
        <f>SUM(K747:$Q747)/J745</f>
        <v>5951.387114999992</v>
      </c>
      <c r="K748" s="79">
        <f>SUM(L747:$Q747)/K745</f>
        <v>6070.414857299992</v>
      </c>
      <c r="L748" s="79">
        <f>SUM(M747:$Q747)/L745</f>
        <v>6191.823154445992</v>
      </c>
      <c r="M748" s="95">
        <f>SUM(N747:$Q747)/M745</f>
        <v>6315.659617534911</v>
      </c>
      <c r="N748" s="79">
        <f>SUM(O747:$Q747)/N745</f>
        <v>6441.972809885611</v>
      </c>
      <c r="O748" s="79">
        <f>SUM(P747:$Q747)/O745</f>
        <v>6570.812266083322</v>
      </c>
      <c r="P748" s="79">
        <f>SUM(Q747:$Q747)/P745</f>
        <v>6702.22851140499</v>
      </c>
      <c r="Q748" s="80"/>
      <c r="R748" s="56"/>
      <c r="S748" s="56"/>
      <c r="T748" s="56"/>
      <c r="U748" s="56"/>
      <c r="V748" s="69"/>
      <c r="W748" s="56"/>
      <c r="X748" s="56"/>
      <c r="Y748" s="56"/>
      <c r="Z748" s="56"/>
      <c r="AA748" s="56"/>
      <c r="AB748" s="56"/>
      <c r="AC748" s="56"/>
      <c r="AD748" s="56"/>
      <c r="AE748" s="56"/>
      <c r="AF748" s="56"/>
      <c r="AG748" s="56"/>
      <c r="AH748" s="56"/>
      <c r="AI748" s="56"/>
      <c r="AJ748" s="56"/>
      <c r="AK748" s="56"/>
      <c r="AL748" s="56"/>
      <c r="AM748" s="56"/>
      <c r="AN748" s="56"/>
      <c r="AO748" s="56"/>
    </row>
    <row r="749" spans="1:17" ht="10.5" hidden="1">
      <c r="A749" s="16"/>
      <c r="C749" s="6" t="s">
        <v>40</v>
      </c>
      <c r="D749" s="6"/>
      <c r="E749" s="44" t="e">
        <f>#REF!/#REF!-1</f>
        <v>#REF!</v>
      </c>
      <c r="F749" s="44" t="e">
        <f>#REF!/#REF!-1</f>
        <v>#REF!</v>
      </c>
      <c r="G749" s="30" t="e">
        <f>#REF!/#REF!-1</f>
        <v>#REF!</v>
      </c>
      <c r="H749" s="44" t="e">
        <f>#REF!/#REF!-1</f>
        <v>#REF!</v>
      </c>
      <c r="I749" s="44" t="e">
        <f>#REF!/#REF!-1</f>
        <v>#REF!</v>
      </c>
      <c r="J749" s="44" t="e">
        <f>#REF!/#REF!-1</f>
        <v>#REF!</v>
      </c>
      <c r="K749" s="44" t="e">
        <f>#REF!/#REF!-1</f>
        <v>#REF!</v>
      </c>
      <c r="L749" s="44" t="e">
        <f>#REF!/#REF!-1</f>
        <v>#REF!</v>
      </c>
      <c r="M749" s="30" t="e">
        <f>#REF!/#REF!-1</f>
        <v>#REF!</v>
      </c>
      <c r="N749" s="44" t="e">
        <f>#REF!/#REF!-1</f>
        <v>#REF!</v>
      </c>
      <c r="O749" s="44" t="e">
        <f>#REF!/#REF!-1</f>
        <v>#REF!</v>
      </c>
      <c r="P749" s="44" t="e">
        <f>#REF!/#REF!-1</f>
        <v>#REF!</v>
      </c>
      <c r="Q749" s="44" t="e">
        <f>Q748/#REF!-1</f>
        <v>#REF!</v>
      </c>
    </row>
    <row r="750" spans="1:17" ht="6.75" customHeight="1">
      <c r="A750" s="16"/>
      <c r="D750" s="1"/>
      <c r="E750" s="1"/>
      <c r="F750" s="1"/>
      <c r="G750" s="29"/>
      <c r="H750" s="1"/>
      <c r="I750" s="1"/>
      <c r="J750" s="3"/>
      <c r="K750" s="3"/>
      <c r="L750" s="3"/>
      <c r="M750" s="35"/>
      <c r="N750" s="3"/>
      <c r="O750" s="3"/>
      <c r="P750" s="3"/>
      <c r="Q750" s="3"/>
    </row>
    <row r="751" spans="1:17" ht="12.75" customHeight="1">
      <c r="A751" s="16"/>
      <c r="C751" s="4" t="s">
        <v>41</v>
      </c>
      <c r="D751" s="1">
        <f aca="true" t="shared" si="508" ref="D751:Q751">D$13</f>
        <v>1500</v>
      </c>
      <c r="E751" s="1">
        <f t="shared" si="508"/>
        <v>1500</v>
      </c>
      <c r="F751" s="1">
        <f t="shared" si="508"/>
        <v>1500</v>
      </c>
      <c r="G751" s="1">
        <f t="shared" si="508"/>
        <v>1500</v>
      </c>
      <c r="H751" s="1">
        <f t="shared" si="508"/>
        <v>1530</v>
      </c>
      <c r="I751" s="1">
        <f t="shared" si="508"/>
        <v>1560.6000000000001</v>
      </c>
      <c r="J751" s="1">
        <f t="shared" si="508"/>
        <v>1591.8120000000001</v>
      </c>
      <c r="K751" s="1">
        <f t="shared" si="508"/>
        <v>1623.6482400000002</v>
      </c>
      <c r="L751" s="1">
        <f t="shared" si="508"/>
        <v>1656.1212048000002</v>
      </c>
      <c r="M751" s="1">
        <f t="shared" si="508"/>
        <v>1689.2436288960002</v>
      </c>
      <c r="N751" s="1">
        <f t="shared" si="508"/>
        <v>1723.0285014739202</v>
      </c>
      <c r="O751" s="1">
        <f t="shared" si="508"/>
        <v>1757.4890715033987</v>
      </c>
      <c r="P751" s="1">
        <f t="shared" si="508"/>
        <v>1792.6388529334668</v>
      </c>
      <c r="Q751" s="1">
        <f t="shared" si="508"/>
        <v>1828.491629992136</v>
      </c>
    </row>
    <row r="752" spans="1:17" s="69" customFormat="1" ht="12.75" customHeight="1" hidden="1">
      <c r="A752" s="55"/>
      <c r="C752" s="21" t="s">
        <v>42</v>
      </c>
      <c r="D752" s="12">
        <v>1</v>
      </c>
      <c r="E752" s="85">
        <f aca="true" t="shared" si="509" ref="E752:Q752">D752/(1+D$64)</f>
        <v>0.9259259259259258</v>
      </c>
      <c r="F752" s="85">
        <f t="shared" si="509"/>
        <v>0.8573388203017831</v>
      </c>
      <c r="G752" s="85">
        <f t="shared" si="509"/>
        <v>0.7938322410201695</v>
      </c>
      <c r="H752" s="85">
        <f t="shared" si="509"/>
        <v>0.7350298527964532</v>
      </c>
      <c r="I752" s="85">
        <f t="shared" si="509"/>
        <v>0.6805831970337529</v>
      </c>
      <c r="J752" s="85">
        <f t="shared" si="509"/>
        <v>0.6301696268831045</v>
      </c>
      <c r="K752" s="85">
        <f t="shared" si="509"/>
        <v>0.5834903952621338</v>
      </c>
      <c r="L752" s="85">
        <f t="shared" si="509"/>
        <v>0.5402688845019756</v>
      </c>
      <c r="M752" s="85">
        <f t="shared" si="509"/>
        <v>0.5002489671314588</v>
      </c>
      <c r="N752" s="85">
        <f t="shared" si="509"/>
        <v>0.4631934880846841</v>
      </c>
      <c r="O752" s="85">
        <f t="shared" si="509"/>
        <v>0.4288828593376704</v>
      </c>
      <c r="P752" s="85">
        <f t="shared" si="509"/>
        <v>0.3971137586459911</v>
      </c>
      <c r="Q752" s="85">
        <f t="shared" si="509"/>
        <v>0.36769792467221396</v>
      </c>
    </row>
    <row r="753" spans="1:17" s="69" customFormat="1" ht="12.75" customHeight="1" hidden="1">
      <c r="A753" s="55"/>
      <c r="C753" s="4" t="s">
        <v>32</v>
      </c>
      <c r="D753" s="86"/>
      <c r="E753" s="102">
        <f>E$42</f>
        <v>120</v>
      </c>
      <c r="F753" s="102">
        <f aca="true" t="shared" si="510" ref="F753:P753">F$42</f>
        <v>120</v>
      </c>
      <c r="G753" s="102">
        <f t="shared" si="510"/>
        <v>120</v>
      </c>
      <c r="H753" s="102">
        <f t="shared" si="510"/>
        <v>90</v>
      </c>
      <c r="I753" s="102">
        <f t="shared" si="510"/>
        <v>91.79999999999987</v>
      </c>
      <c r="J753" s="102">
        <f t="shared" si="510"/>
        <v>93.63600000000002</v>
      </c>
      <c r="K753" s="102">
        <f t="shared" si="510"/>
        <v>95.50871999999993</v>
      </c>
      <c r="L753" s="102">
        <f t="shared" si="510"/>
        <v>97.41889440000003</v>
      </c>
      <c r="M753" s="102">
        <f t="shared" si="510"/>
        <v>99.36727228799998</v>
      </c>
      <c r="N753" s="102">
        <f t="shared" si="510"/>
        <v>101.35461773376008</v>
      </c>
      <c r="O753" s="102">
        <f t="shared" si="510"/>
        <v>103.38171008843511</v>
      </c>
      <c r="P753" s="102">
        <f t="shared" si="510"/>
        <v>105.44934429020384</v>
      </c>
      <c r="Q753" s="162">
        <f>P753*(1+O$5)+P753*(1+O$5)*(1+O$5)/(P757-O$5)</f>
        <v>1936.0499611681423</v>
      </c>
    </row>
    <row r="754" spans="1:17" s="69" customFormat="1" ht="12.75" customHeight="1" hidden="1">
      <c r="A754" s="55"/>
      <c r="C754" s="21" t="s">
        <v>43</v>
      </c>
      <c r="D754" s="86"/>
      <c r="E754" s="87">
        <f aca="true" t="shared" si="511" ref="E754:Q754">E753*E752</f>
        <v>111.1111111111111</v>
      </c>
      <c r="F754" s="87">
        <f t="shared" si="511"/>
        <v>102.88065843621398</v>
      </c>
      <c r="G754" s="94">
        <f t="shared" si="511"/>
        <v>95.25986892242034</v>
      </c>
      <c r="H754" s="87">
        <f t="shared" si="511"/>
        <v>66.15268675168079</v>
      </c>
      <c r="I754" s="87">
        <f t="shared" si="511"/>
        <v>62.47753748769843</v>
      </c>
      <c r="J754" s="87">
        <f t="shared" si="511"/>
        <v>59.00656318282639</v>
      </c>
      <c r="K754" s="87">
        <f t="shared" si="511"/>
        <v>55.728420783780415</v>
      </c>
      <c r="L754" s="87">
        <f t="shared" si="511"/>
        <v>52.63239740690378</v>
      </c>
      <c r="M754" s="94">
        <f t="shared" si="511"/>
        <v>49.70837532874242</v>
      </c>
      <c r="N754" s="87">
        <f t="shared" si="511"/>
        <v>46.94679892159011</v>
      </c>
      <c r="O754" s="87">
        <f t="shared" si="511"/>
        <v>44.33864342594614</v>
      </c>
      <c r="P754" s="87">
        <f t="shared" si="511"/>
        <v>41.87538545783802</v>
      </c>
      <c r="Q754" s="87">
        <f t="shared" si="511"/>
        <v>711.8815527832463</v>
      </c>
    </row>
    <row r="755" spans="1:17" ht="12.75" customHeight="1" thickBot="1">
      <c r="A755" s="64"/>
      <c r="B755" s="65"/>
      <c r="C755" s="119" t="s">
        <v>44</v>
      </c>
      <c r="D755" s="79">
        <f>SUM(E754:$Q754)/D752</f>
        <v>1499.9999999999982</v>
      </c>
      <c r="E755" s="79">
        <f>SUM(F754:$Q754)/E752</f>
        <v>1499.9999999999982</v>
      </c>
      <c r="F755" s="79">
        <f>SUM(G754:$Q754)/F752</f>
        <v>1499.9999999999982</v>
      </c>
      <c r="G755" s="95">
        <f>SUM(H754:$Q754)/G752</f>
        <v>1499.9999999999982</v>
      </c>
      <c r="H755" s="79">
        <f>SUM(I754:$Q754)/H752</f>
        <v>1529.9999999999984</v>
      </c>
      <c r="I755" s="79">
        <f>SUM(J754:$Q754)/I752</f>
        <v>1560.5999999999983</v>
      </c>
      <c r="J755" s="79">
        <f>SUM(K754:$Q754)/J752</f>
        <v>1591.811999999998</v>
      </c>
      <c r="K755" s="79">
        <f>SUM(L754:$Q754)/K752</f>
        <v>1623.6482399999982</v>
      </c>
      <c r="L755" s="79">
        <f>SUM(M754:$Q754)/L752</f>
        <v>1656.1212047999982</v>
      </c>
      <c r="M755" s="95">
        <f>SUM(N754:$Q754)/M752</f>
        <v>1689.2436288959984</v>
      </c>
      <c r="N755" s="79">
        <f>SUM(O754:$Q754)/N752</f>
        <v>1723.0285014739184</v>
      </c>
      <c r="O755" s="79">
        <f>SUM(P754:$Q754)/O752</f>
        <v>1757.4890715033969</v>
      </c>
      <c r="P755" s="79">
        <f>SUM(Q754:$Q754)/P752</f>
        <v>1792.638852933465</v>
      </c>
      <c r="Q755" s="67"/>
    </row>
    <row r="756" spans="1:17" ht="12" customHeight="1">
      <c r="A756" s="16"/>
      <c r="C756" s="7" t="s">
        <v>4</v>
      </c>
      <c r="D756" s="51">
        <f>$D$4</f>
        <v>0.08</v>
      </c>
      <c r="E756" s="139">
        <f aca="true" t="shared" si="512" ref="E756:Q756">D756</f>
        <v>0.08</v>
      </c>
      <c r="F756" s="139">
        <f t="shared" si="512"/>
        <v>0.08</v>
      </c>
      <c r="G756" s="140">
        <f t="shared" si="512"/>
        <v>0.08</v>
      </c>
      <c r="H756" s="139">
        <f t="shared" si="512"/>
        <v>0.08</v>
      </c>
      <c r="I756" s="139">
        <f t="shared" si="512"/>
        <v>0.08</v>
      </c>
      <c r="J756" s="139">
        <f t="shared" si="512"/>
        <v>0.08</v>
      </c>
      <c r="K756" s="139">
        <f t="shared" si="512"/>
        <v>0.08</v>
      </c>
      <c r="L756" s="139">
        <f t="shared" si="512"/>
        <v>0.08</v>
      </c>
      <c r="M756" s="140">
        <f t="shared" si="512"/>
        <v>0.08</v>
      </c>
      <c r="N756" s="139">
        <f t="shared" si="512"/>
        <v>0.08</v>
      </c>
      <c r="O756" s="139">
        <f t="shared" si="512"/>
        <v>0.08</v>
      </c>
      <c r="P756" s="139">
        <f t="shared" si="512"/>
        <v>0.08</v>
      </c>
      <c r="Q756" s="139">
        <f t="shared" si="512"/>
        <v>0.08</v>
      </c>
    </row>
    <row r="757" spans="1:41" s="107" customFormat="1" ht="12" customHeight="1">
      <c r="A757" s="16"/>
      <c r="C757" s="107" t="s">
        <v>5</v>
      </c>
      <c r="D757" s="51">
        <f>$D$5</f>
        <v>0.08</v>
      </c>
      <c r="E757" s="51">
        <f aca="true" t="shared" si="513" ref="E757:Q757">D757</f>
        <v>0.08</v>
      </c>
      <c r="F757" s="51">
        <f t="shared" si="513"/>
        <v>0.08</v>
      </c>
      <c r="G757" s="50">
        <f t="shared" si="513"/>
        <v>0.08</v>
      </c>
      <c r="H757" s="51">
        <f t="shared" si="513"/>
        <v>0.08</v>
      </c>
      <c r="I757" s="51">
        <f t="shared" si="513"/>
        <v>0.08</v>
      </c>
      <c r="J757" s="51">
        <f t="shared" si="513"/>
        <v>0.08</v>
      </c>
      <c r="K757" s="51">
        <f t="shared" si="513"/>
        <v>0.08</v>
      </c>
      <c r="L757" s="51">
        <f t="shared" si="513"/>
        <v>0.08</v>
      </c>
      <c r="M757" s="50">
        <f t="shared" si="513"/>
        <v>0.08</v>
      </c>
      <c r="N757" s="51">
        <f t="shared" si="513"/>
        <v>0.08</v>
      </c>
      <c r="O757" s="51">
        <f t="shared" si="513"/>
        <v>0.08</v>
      </c>
      <c r="P757" s="51">
        <f t="shared" si="513"/>
        <v>0.08</v>
      </c>
      <c r="Q757" s="51">
        <f t="shared" si="513"/>
        <v>0.08</v>
      </c>
      <c r="R757" s="106"/>
      <c r="S757" s="106"/>
      <c r="T757" s="106"/>
      <c r="U757" s="106"/>
      <c r="V757" s="106"/>
      <c r="W757" s="106"/>
      <c r="X757" s="106"/>
      <c r="Y757" s="106"/>
      <c r="Z757" s="106"/>
      <c r="AA757" s="106"/>
      <c r="AB757" s="106"/>
      <c r="AC757" s="106"/>
      <c r="AD757" s="106"/>
      <c r="AE757" s="106"/>
      <c r="AF757" s="106"/>
      <c r="AG757" s="106"/>
      <c r="AH757" s="106"/>
      <c r="AI757" s="106"/>
      <c r="AJ757" s="106"/>
      <c r="AK757" s="106"/>
      <c r="AL757" s="106"/>
      <c r="AM757" s="106"/>
      <c r="AN757" s="106"/>
      <c r="AO757" s="106"/>
    </row>
    <row r="758" spans="1:41" s="42" customFormat="1" ht="12" customHeight="1">
      <c r="A758" s="45"/>
      <c r="C758" s="42" t="s">
        <v>45</v>
      </c>
      <c r="D758" s="81">
        <f aca="true" t="shared" si="514" ref="D758:Q758">(D757-D742)/D743</f>
        <v>0.5000000000000001</v>
      </c>
      <c r="E758" s="81">
        <f t="shared" si="514"/>
        <v>0.5000000000000001</v>
      </c>
      <c r="F758" s="81">
        <f t="shared" si="514"/>
        <v>0.5000000000000001</v>
      </c>
      <c r="G758" s="144">
        <f t="shared" si="514"/>
        <v>0.5000000000000001</v>
      </c>
      <c r="H758" s="81">
        <f t="shared" si="514"/>
        <v>0.5000000000000001</v>
      </c>
      <c r="I758" s="81">
        <f t="shared" si="514"/>
        <v>0.5000000000000001</v>
      </c>
      <c r="J758" s="82">
        <f t="shared" si="514"/>
        <v>0.5000000000000001</v>
      </c>
      <c r="K758" s="82">
        <f t="shared" si="514"/>
        <v>0.5000000000000001</v>
      </c>
      <c r="L758" s="82">
        <f t="shared" si="514"/>
        <v>0.5000000000000001</v>
      </c>
      <c r="M758" s="83">
        <f t="shared" si="514"/>
        <v>0.5000000000000001</v>
      </c>
      <c r="N758" s="82">
        <f t="shared" si="514"/>
        <v>0.5000000000000001</v>
      </c>
      <c r="O758" s="82">
        <f t="shared" si="514"/>
        <v>0.5000000000000001</v>
      </c>
      <c r="P758" s="82">
        <f t="shared" si="514"/>
        <v>0.5000000000000001</v>
      </c>
      <c r="Q758" s="84">
        <f t="shared" si="514"/>
        <v>0.5000000000000001</v>
      </c>
      <c r="R758" s="69"/>
      <c r="S758" s="69"/>
      <c r="T758" s="69"/>
      <c r="U758" s="69"/>
      <c r="V758" s="69"/>
      <c r="W758" s="69"/>
      <c r="X758" s="69"/>
      <c r="Y758" s="69"/>
      <c r="Z758" s="69"/>
      <c r="AA758" s="69"/>
      <c r="AB758" s="69"/>
      <c r="AC758" s="69"/>
      <c r="AD758" s="69"/>
      <c r="AE758" s="69"/>
      <c r="AF758" s="69"/>
      <c r="AG758" s="69"/>
      <c r="AH758" s="69"/>
      <c r="AI758" s="69"/>
      <c r="AJ758" s="69"/>
      <c r="AK758" s="69"/>
      <c r="AL758" s="69"/>
      <c r="AM758" s="69"/>
      <c r="AN758" s="69"/>
      <c r="AO758" s="69"/>
    </row>
    <row r="759" spans="1:17" ht="11.25" customHeight="1">
      <c r="A759" s="16"/>
      <c r="D759"/>
      <c r="E759" s="43"/>
      <c r="F759" s="43"/>
      <c r="G759" s="143"/>
      <c r="H759" s="43"/>
      <c r="I759" s="43"/>
      <c r="J759" s="2"/>
      <c r="K759" s="2"/>
      <c r="L759" s="2"/>
      <c r="M759" s="8"/>
      <c r="N759" s="2"/>
      <c r="O759" s="2"/>
      <c r="P759" s="2"/>
      <c r="Q759" s="2"/>
    </row>
    <row r="760" spans="1:17" ht="11.25" customHeight="1" hidden="1">
      <c r="A760" s="16"/>
      <c r="C760" s="158" t="s">
        <v>118</v>
      </c>
      <c r="D760" s="43"/>
      <c r="E760" s="43">
        <f aca="true" t="shared" si="515" ref="E760:P760">D755*D744*$H$3+$F$1*(D751*D756-D755*D757)+D755*(D742-D757)</f>
        <v>22.500000000000018</v>
      </c>
      <c r="F760" s="43">
        <f t="shared" si="515"/>
        <v>22.500000000000018</v>
      </c>
      <c r="G760" s="43">
        <f t="shared" si="515"/>
        <v>22.500000000000018</v>
      </c>
      <c r="H760" s="43">
        <f t="shared" si="515"/>
        <v>22.500000000000018</v>
      </c>
      <c r="I760" s="43">
        <f t="shared" si="515"/>
        <v>22.950000000000017</v>
      </c>
      <c r="J760" s="43">
        <f t="shared" si="515"/>
        <v>23.409000000000017</v>
      </c>
      <c r="K760" s="43">
        <f t="shared" si="515"/>
        <v>23.877180000000024</v>
      </c>
      <c r="L760" s="43">
        <f t="shared" si="515"/>
        <v>24.35472360000002</v>
      </c>
      <c r="M760" s="43">
        <f t="shared" si="515"/>
        <v>24.841818072000024</v>
      </c>
      <c r="N760" s="43">
        <f t="shared" si="515"/>
        <v>25.338654433440013</v>
      </c>
      <c r="O760" s="43">
        <f t="shared" si="515"/>
        <v>25.845427522108814</v>
      </c>
      <c r="P760" s="43">
        <f t="shared" si="515"/>
        <v>26.362336072550995</v>
      </c>
      <c r="Q760" s="162">
        <f>P760*(1+O$5)+P760*(1+O$5)*(1+O$5)/(P744-O$5)</f>
        <v>369.73176341752776</v>
      </c>
    </row>
    <row r="761" spans="3:17" ht="11.25" customHeight="1" hidden="1">
      <c r="C761" s="21" t="s">
        <v>47</v>
      </c>
      <c r="E761" s="5">
        <f>E745*E760</f>
        <v>20.45454545454547</v>
      </c>
      <c r="F761" s="5">
        <f aca="true" t="shared" si="516" ref="F761:Q761">F745*F760</f>
        <v>18.595041322314064</v>
      </c>
      <c r="G761" s="93">
        <f t="shared" si="516"/>
        <v>16.90458302028551</v>
      </c>
      <c r="H761" s="5">
        <f t="shared" si="516"/>
        <v>15.3678027457141</v>
      </c>
      <c r="I761" s="5">
        <f t="shared" si="516"/>
        <v>14.250144364207616</v>
      </c>
      <c r="J761" s="5">
        <f t="shared" si="516"/>
        <v>13.213770228628878</v>
      </c>
      <c r="K761" s="5">
        <f t="shared" si="516"/>
        <v>12.252768757455872</v>
      </c>
      <c r="L761" s="5">
        <f t="shared" si="516"/>
        <v>11.36165830236817</v>
      </c>
      <c r="M761" s="93">
        <f t="shared" si="516"/>
        <v>10.535355880377757</v>
      </c>
      <c r="N761" s="5">
        <f t="shared" si="516"/>
        <v>9.769148179986642</v>
      </c>
      <c r="O761" s="5">
        <f t="shared" si="516"/>
        <v>9.058664675987613</v>
      </c>
      <c r="P761" s="5">
        <f t="shared" si="516"/>
        <v>8.39985269955215</v>
      </c>
      <c r="Q761" s="5">
        <f t="shared" si="516"/>
        <v>107.09812191928994</v>
      </c>
    </row>
    <row r="762" spans="1:17" ht="11.25" customHeight="1">
      <c r="A762" s="16"/>
      <c r="C762" s="158" t="s">
        <v>117</v>
      </c>
      <c r="D762" s="70">
        <f>SUM(E761:$Q761)/D745</f>
        <v>267.26145755071377</v>
      </c>
      <c r="E762" s="70">
        <f>SUM(F761:$Q761)/E745</f>
        <v>271.48760330578517</v>
      </c>
      <c r="F762" s="70">
        <f>SUM(G761:$Q761)/F745</f>
        <v>276.1363636363636</v>
      </c>
      <c r="G762" s="29">
        <f>SUM(H761:$Q761)/G745</f>
        <v>281.25000000000006</v>
      </c>
      <c r="H762" s="70">
        <f>SUM(I761:$Q761)/H745</f>
        <v>286.87500000000006</v>
      </c>
      <c r="I762" s="70">
        <f>SUM(J761:$Q761)/I745</f>
        <v>292.61250000000007</v>
      </c>
      <c r="J762" s="70">
        <f>SUM(K761:$Q761)/J745</f>
        <v>298.46475000000015</v>
      </c>
      <c r="K762" s="70">
        <f>SUM(L761:$Q761)/K745</f>
        <v>304.43404500000014</v>
      </c>
      <c r="L762" s="70">
        <f>SUM(M761:$Q761)/L745</f>
        <v>310.5227259000001</v>
      </c>
      <c r="M762" s="29">
        <f>SUM(N761:$Q761)/M745</f>
        <v>316.73318041800013</v>
      </c>
      <c r="N762" s="70">
        <f>SUM(O761:$Q761)/N745</f>
        <v>323.06784402636015</v>
      </c>
      <c r="O762" s="70">
        <f>SUM(P761:$Q761)/O745</f>
        <v>329.52920090688747</v>
      </c>
      <c r="P762" s="70">
        <f>SUM(Q761:$Q761)/P745</f>
        <v>336.1197849250253</v>
      </c>
      <c r="Q762" s="70">
        <f>SUM($Q761:R761)/Q745</f>
        <v>369.73176341752776</v>
      </c>
    </row>
    <row r="763" spans="1:17" ht="12" customHeight="1">
      <c r="A763" s="16"/>
      <c r="C763" s="21" t="s">
        <v>103</v>
      </c>
      <c r="D763" s="1">
        <f aca="true" t="shared" si="517" ref="D763:P763">D762+D748</f>
        <v>5102.614575507132</v>
      </c>
      <c r="E763" s="1">
        <f t="shared" si="517"/>
        <v>5347.376033057844</v>
      </c>
      <c r="F763" s="1">
        <f t="shared" si="517"/>
        <v>5752.61363636363</v>
      </c>
      <c r="G763" s="29">
        <f t="shared" si="517"/>
        <v>5889.374999999993</v>
      </c>
      <c r="H763" s="1">
        <f t="shared" si="517"/>
        <v>6007.162499999992</v>
      </c>
      <c r="I763" s="1">
        <f t="shared" si="517"/>
        <v>6127.305749999993</v>
      </c>
      <c r="J763" s="1">
        <f t="shared" si="517"/>
        <v>6249.851864999992</v>
      </c>
      <c r="K763" s="1">
        <f t="shared" si="517"/>
        <v>6374.848902299992</v>
      </c>
      <c r="L763" s="1">
        <f t="shared" si="517"/>
        <v>6502.345880345993</v>
      </c>
      <c r="M763" s="29">
        <f t="shared" si="517"/>
        <v>6632.392797952912</v>
      </c>
      <c r="N763" s="1">
        <f t="shared" si="517"/>
        <v>6765.040653911971</v>
      </c>
      <c r="O763" s="1">
        <f t="shared" si="517"/>
        <v>6900.3414669902095</v>
      </c>
      <c r="P763" s="1">
        <f t="shared" si="517"/>
        <v>7038.348296330016</v>
      </c>
      <c r="Q763" s="1"/>
    </row>
    <row r="764" spans="1:41" s="65" customFormat="1" ht="12" customHeight="1" thickBot="1">
      <c r="A764" s="64"/>
      <c r="B764" s="65" t="s">
        <v>48</v>
      </c>
      <c r="C764" s="77" t="s">
        <v>49</v>
      </c>
      <c r="D764" s="112">
        <f aca="true" t="shared" si="518" ref="D764:P764">D763-D755</f>
        <v>3602.614575507134</v>
      </c>
      <c r="E764" s="79">
        <f t="shared" si="518"/>
        <v>3847.376033057846</v>
      </c>
      <c r="F764" s="79">
        <f t="shared" si="518"/>
        <v>4252.6136363636315</v>
      </c>
      <c r="G764" s="95">
        <f t="shared" si="518"/>
        <v>4389.3749999999945</v>
      </c>
      <c r="H764" s="79">
        <f t="shared" si="518"/>
        <v>4477.162499999994</v>
      </c>
      <c r="I764" s="79">
        <f t="shared" si="518"/>
        <v>4566.705749999995</v>
      </c>
      <c r="J764" s="79">
        <f t="shared" si="518"/>
        <v>4658.039864999994</v>
      </c>
      <c r="K764" s="79">
        <f t="shared" si="518"/>
        <v>4751.200662299994</v>
      </c>
      <c r="L764" s="79">
        <f t="shared" si="518"/>
        <v>4846.224675545995</v>
      </c>
      <c r="M764" s="95">
        <f t="shared" si="518"/>
        <v>4943.149169056913</v>
      </c>
      <c r="N764" s="79">
        <f t="shared" si="518"/>
        <v>5042.012152438053</v>
      </c>
      <c r="O764" s="79">
        <f t="shared" si="518"/>
        <v>5142.852395486812</v>
      </c>
      <c r="P764" s="79">
        <f t="shared" si="518"/>
        <v>5245.70944339655</v>
      </c>
      <c r="Q764" s="79"/>
      <c r="R764" s="69"/>
      <c r="S764" s="69"/>
      <c r="T764" s="69"/>
      <c r="U764" s="69"/>
      <c r="V764" s="69"/>
      <c r="W764" s="69"/>
      <c r="X764" s="69"/>
      <c r="Y764" s="69"/>
      <c r="Z764" s="69"/>
      <c r="AA764" s="69"/>
      <c r="AB764" s="69"/>
      <c r="AC764" s="69"/>
      <c r="AD764" s="69"/>
      <c r="AE764" s="69"/>
      <c r="AF764" s="69"/>
      <c r="AG764" s="69"/>
      <c r="AH764" s="69"/>
      <c r="AI764" s="69"/>
      <c r="AJ764" s="69"/>
      <c r="AK764" s="69"/>
      <c r="AL764" s="69"/>
      <c r="AM764" s="69"/>
      <c r="AN764" s="69"/>
      <c r="AO764" s="69"/>
    </row>
    <row r="765" spans="1:17" ht="10.5" hidden="1">
      <c r="A765" s="16"/>
      <c r="C765" s="6" t="s">
        <v>50</v>
      </c>
      <c r="D765" s="6"/>
      <c r="E765" s="44">
        <f aca="true" t="shared" si="519" ref="E765:Q765">E764/D764-1</f>
        <v>0.06793995094972316</v>
      </c>
      <c r="F765" s="44">
        <f t="shared" si="519"/>
        <v>0.10532830683142436</v>
      </c>
      <c r="G765" s="30">
        <f t="shared" si="519"/>
        <v>0.03215936723405388</v>
      </c>
      <c r="H765" s="44">
        <f t="shared" si="519"/>
        <v>0.019999999999999796</v>
      </c>
      <c r="I765" s="44">
        <f t="shared" si="519"/>
        <v>0.02000000000000024</v>
      </c>
      <c r="J765" s="44">
        <f t="shared" si="519"/>
        <v>0.020000000000000018</v>
      </c>
      <c r="K765" s="44">
        <f t="shared" si="519"/>
        <v>0.020000000000000018</v>
      </c>
      <c r="L765" s="44">
        <f t="shared" si="519"/>
        <v>0.020000000000000018</v>
      </c>
      <c r="M765" s="30">
        <f t="shared" si="519"/>
        <v>0.019999999999999574</v>
      </c>
      <c r="N765" s="44">
        <f t="shared" si="519"/>
        <v>0.020000000000000462</v>
      </c>
      <c r="O765" s="44">
        <f t="shared" si="519"/>
        <v>0.019999999999999796</v>
      </c>
      <c r="P765" s="44">
        <f t="shared" si="519"/>
        <v>0.02000000000000024</v>
      </c>
      <c r="Q765" s="44">
        <f t="shared" si="519"/>
        <v>-1</v>
      </c>
    </row>
    <row r="766" spans="1:17" ht="9" customHeight="1">
      <c r="A766" s="16"/>
      <c r="C766" s="6"/>
      <c r="D766" s="6"/>
      <c r="E766" s="6"/>
      <c r="F766" s="6"/>
      <c r="G766" s="145"/>
      <c r="H766" s="6"/>
      <c r="I766" s="6"/>
      <c r="J766" s="6"/>
      <c r="K766" s="6"/>
      <c r="L766" s="6"/>
      <c r="M766" s="30"/>
      <c r="N766" s="6"/>
      <c r="O766" s="6"/>
      <c r="P766" s="6"/>
      <c r="Q766" s="44"/>
    </row>
    <row r="767" spans="1:17" ht="12.75" customHeight="1">
      <c r="A767" s="16"/>
      <c r="C767" s="4" t="s">
        <v>51</v>
      </c>
      <c r="D767" s="12">
        <f aca="true" t="shared" si="520" ref="D767:P767">D741+(D755/D764)*(D741*(1-E$30)+E$30*D758)</f>
        <v>1.3435005255386772</v>
      </c>
      <c r="E767" s="12">
        <f t="shared" si="520"/>
        <v>1.321647790433536</v>
      </c>
      <c r="F767" s="12">
        <f t="shared" si="520"/>
        <v>1.2909975148972557</v>
      </c>
      <c r="G767" s="12">
        <f t="shared" si="520"/>
        <v>1.28193079880393</v>
      </c>
      <c r="H767" s="12">
        <f t="shared" si="520"/>
        <v>1.2819307988039301</v>
      </c>
      <c r="I767" s="12">
        <f t="shared" si="520"/>
        <v>1.2819307988039301</v>
      </c>
      <c r="J767" s="12">
        <f t="shared" si="520"/>
        <v>1.28193079880393</v>
      </c>
      <c r="K767" s="12">
        <f t="shared" si="520"/>
        <v>1.28193079880393</v>
      </c>
      <c r="L767" s="12">
        <f t="shared" si="520"/>
        <v>1.28193079880393</v>
      </c>
      <c r="M767" s="12">
        <f t="shared" si="520"/>
        <v>1.2819307988039301</v>
      </c>
      <c r="N767" s="12">
        <f t="shared" si="520"/>
        <v>1.2819307988039301</v>
      </c>
      <c r="O767" s="12">
        <f t="shared" si="520"/>
        <v>1.2819307988039301</v>
      </c>
      <c r="P767" s="12">
        <f t="shared" si="520"/>
        <v>1.2819307988039301</v>
      </c>
      <c r="Q767" s="12"/>
    </row>
    <row r="768" spans="1:41" s="7" customFormat="1" ht="12.75" customHeight="1">
      <c r="A768" s="16"/>
      <c r="C768" s="7" t="s">
        <v>52</v>
      </c>
      <c r="D768" s="51">
        <f>D742+D743*D767</f>
        <v>0.1137400210215471</v>
      </c>
      <c r="E768" s="51">
        <f>E742+E743*E767</f>
        <v>0.11286591161734144</v>
      </c>
      <c r="F768" s="51">
        <f aca="true" t="shared" si="521" ref="F768:P768">F742+F743*F767</f>
        <v>0.11163990059589023</v>
      </c>
      <c r="G768" s="50">
        <f t="shared" si="521"/>
        <v>0.11127723195215719</v>
      </c>
      <c r="H768" s="51">
        <f t="shared" si="521"/>
        <v>0.1112772319521572</v>
      </c>
      <c r="I768" s="51">
        <f t="shared" si="521"/>
        <v>0.1112772319521572</v>
      </c>
      <c r="J768" s="51">
        <f t="shared" si="521"/>
        <v>0.11127723195215719</v>
      </c>
      <c r="K768" s="51">
        <f t="shared" si="521"/>
        <v>0.11127723195215719</v>
      </c>
      <c r="L768" s="51">
        <f t="shared" si="521"/>
        <v>0.11127723195215719</v>
      </c>
      <c r="M768" s="50">
        <f t="shared" si="521"/>
        <v>0.1112772319521572</v>
      </c>
      <c r="N768" s="51">
        <f t="shared" si="521"/>
        <v>0.1112772319521572</v>
      </c>
      <c r="O768" s="51">
        <f t="shared" si="521"/>
        <v>0.1112772319521572</v>
      </c>
      <c r="P768" s="51">
        <f t="shared" si="521"/>
        <v>0.1112772319521572</v>
      </c>
      <c r="Q768" s="51">
        <f>P768</f>
        <v>0.1112772319521572</v>
      </c>
      <c r="R768" s="56"/>
      <c r="S768" s="56"/>
      <c r="T768" s="56"/>
      <c r="U768" s="56"/>
      <c r="V768" s="56"/>
      <c r="W768" s="56"/>
      <c r="X768" s="56"/>
      <c r="Y768" s="56"/>
      <c r="Z768" s="56"/>
      <c r="AA768" s="56"/>
      <c r="AB768" s="56"/>
      <c r="AC768" s="56"/>
      <c r="AD768" s="56"/>
      <c r="AE768" s="56"/>
      <c r="AF768" s="56"/>
      <c r="AG768" s="56"/>
      <c r="AH768" s="56"/>
      <c r="AI768" s="56"/>
      <c r="AJ768" s="56"/>
      <c r="AK768" s="56"/>
      <c r="AL768" s="56"/>
      <c r="AM768" s="56"/>
      <c r="AN768" s="56"/>
      <c r="AO768" s="56"/>
    </row>
    <row r="769" spans="1:17" ht="12.75" customHeight="1" hidden="1">
      <c r="A769" s="16"/>
      <c r="C769" s="21" t="s">
        <v>53</v>
      </c>
      <c r="D769" s="12">
        <v>1</v>
      </c>
      <c r="E769" s="12">
        <f>1/(1+D768)</f>
        <v>0.8978756093210853</v>
      </c>
      <c r="F769" s="46">
        <f aca="true" t="shared" si="522" ref="F769:Q769">E769/(1+E768)</f>
        <v>0.8068138308021242</v>
      </c>
      <c r="G769" s="96">
        <f t="shared" si="522"/>
        <v>0.7257870380234057</v>
      </c>
      <c r="H769" s="46">
        <f t="shared" si="522"/>
        <v>0.6531106884538893</v>
      </c>
      <c r="I769" s="46">
        <f t="shared" si="522"/>
        <v>0.5877117515550855</v>
      </c>
      <c r="J769" s="46">
        <f t="shared" si="522"/>
        <v>0.5288615069730752</v>
      </c>
      <c r="K769" s="46">
        <f t="shared" si="522"/>
        <v>0.47590420442974024</v>
      </c>
      <c r="L769" s="46">
        <f t="shared" si="522"/>
        <v>0.42824975689795197</v>
      </c>
      <c r="M769" s="96">
        <f t="shared" si="522"/>
        <v>0.38536716544228544</v>
      </c>
      <c r="N769" s="46">
        <f t="shared" si="522"/>
        <v>0.3467786024602692</v>
      </c>
      <c r="O769" s="46">
        <f t="shared" si="522"/>
        <v>0.3120540873955373</v>
      </c>
      <c r="P769" s="46">
        <f t="shared" si="522"/>
        <v>0.2808066955959842</v>
      </c>
      <c r="Q769" s="46">
        <f t="shared" si="522"/>
        <v>0.25268824693069347</v>
      </c>
    </row>
    <row r="770" spans="1:17" ht="12.75" customHeight="1" hidden="1">
      <c r="A770" s="16"/>
      <c r="B770" s="42"/>
      <c r="C770" s="42" t="s">
        <v>122</v>
      </c>
      <c r="D770" s="42"/>
      <c r="E770" s="23">
        <f>E$40</f>
        <v>165</v>
      </c>
      <c r="F770" s="23">
        <f aca="true" t="shared" si="523" ref="F770:P770">F$40</f>
        <v>29</v>
      </c>
      <c r="G770" s="23">
        <f t="shared" si="523"/>
        <v>338</v>
      </c>
      <c r="H770" s="23">
        <f t="shared" si="523"/>
        <v>400.6500000000001</v>
      </c>
      <c r="I770" s="23">
        <f t="shared" si="523"/>
        <v>408.663</v>
      </c>
      <c r="J770" s="23">
        <f t="shared" si="523"/>
        <v>416.83626000000015</v>
      </c>
      <c r="K770" s="23">
        <f t="shared" si="523"/>
        <v>425.17298519999997</v>
      </c>
      <c r="L770" s="23">
        <f t="shared" si="523"/>
        <v>433.6764449039996</v>
      </c>
      <c r="M770" s="23">
        <f t="shared" si="523"/>
        <v>442.3499738020803</v>
      </c>
      <c r="N770" s="23">
        <f t="shared" si="523"/>
        <v>451.19697327812173</v>
      </c>
      <c r="O770" s="23">
        <f t="shared" si="523"/>
        <v>460.2209127436847</v>
      </c>
      <c r="P770" s="23">
        <f t="shared" si="523"/>
        <v>469.42533099855723</v>
      </c>
      <c r="Q770" s="1">
        <f>P770*(1+O$5)+P770*(1+O$5)*(1+O$5)/(P768-O$5)</f>
        <v>5829.437469883011</v>
      </c>
    </row>
    <row r="771" spans="1:41" s="134" customFormat="1" ht="12.75" customHeight="1" hidden="1">
      <c r="A771" s="133"/>
      <c r="C771" s="135" t="s">
        <v>54</v>
      </c>
      <c r="D771" s="136"/>
      <c r="E771" s="136">
        <f>E770*E769</f>
        <v>148.14947553797907</v>
      </c>
      <c r="F771" s="136">
        <f>F770*F769</f>
        <v>23.397601093261603</v>
      </c>
      <c r="G771" s="137">
        <f aca="true" t="shared" si="524" ref="G771:Q771">G770*G769</f>
        <v>245.31601885191114</v>
      </c>
      <c r="H771" s="136">
        <f t="shared" si="524"/>
        <v>261.6687973290508</v>
      </c>
      <c r="I771" s="136">
        <f t="shared" si="524"/>
        <v>240.1760475257559</v>
      </c>
      <c r="J771" s="136">
        <f t="shared" si="524"/>
        <v>220.44865262462068</v>
      </c>
      <c r="K771" s="136">
        <f t="shared" si="524"/>
        <v>202.34161126662372</v>
      </c>
      <c r="L771" s="136">
        <f t="shared" si="524"/>
        <v>185.72183210250589</v>
      </c>
      <c r="M771" s="137">
        <f t="shared" si="524"/>
        <v>170.4671555375769</v>
      </c>
      <c r="N771" s="136">
        <f t="shared" si="524"/>
        <v>156.46545582769048</v>
      </c>
      <c r="O771" s="136">
        <f t="shared" si="524"/>
        <v>143.61381692657173</v>
      </c>
      <c r="P771" s="136">
        <f t="shared" si="524"/>
        <v>131.81777602675598</v>
      </c>
      <c r="Q771" s="136">
        <f t="shared" si="524"/>
        <v>1473.0303348568352</v>
      </c>
      <c r="R771" s="138"/>
      <c r="S771" s="138"/>
      <c r="T771" s="138"/>
      <c r="U771" s="138"/>
      <c r="V771" s="138"/>
      <c r="W771" s="138"/>
      <c r="X771" s="138"/>
      <c r="Y771" s="138"/>
      <c r="Z771" s="138"/>
      <c r="AA771" s="138"/>
      <c r="AB771" s="138"/>
      <c r="AC771" s="138"/>
      <c r="AD771" s="138"/>
      <c r="AE771" s="138"/>
      <c r="AF771" s="138"/>
      <c r="AG771" s="138"/>
      <c r="AH771" s="138"/>
      <c r="AI771" s="138"/>
      <c r="AJ771" s="138"/>
      <c r="AK771" s="138"/>
      <c r="AL771" s="138"/>
      <c r="AM771" s="138"/>
      <c r="AN771" s="138"/>
      <c r="AO771" s="138"/>
    </row>
    <row r="772" spans="1:41" s="65" customFormat="1" ht="12.75" customHeight="1" thickBot="1">
      <c r="A772" s="64"/>
      <c r="C772" s="66" t="s">
        <v>55</v>
      </c>
      <c r="D772" s="79">
        <f>SUM(E771:$Q771)/D769</f>
        <v>3602.6145755071393</v>
      </c>
      <c r="E772" s="79">
        <f>SUM(F771:$Q771)/E769</f>
        <v>3847.3760330578534</v>
      </c>
      <c r="F772" s="79">
        <f>SUM(G771:$Q771)/F769</f>
        <v>4252.613636363638</v>
      </c>
      <c r="G772" s="95">
        <f>SUM(H771:$Q771)/G769</f>
        <v>4389.375000000001</v>
      </c>
      <c r="H772" s="79">
        <f>SUM(I771:$Q771)/H769</f>
        <v>4477.1625</v>
      </c>
      <c r="I772" s="79">
        <f>SUM(J771:$Q771)/I769</f>
        <v>4566.705750000001</v>
      </c>
      <c r="J772" s="79">
        <f>SUM(K771:$Q771)/J769</f>
        <v>4658.039865</v>
      </c>
      <c r="K772" s="79">
        <f>SUM(L771:$Q771)/K769</f>
        <v>4751.2006623</v>
      </c>
      <c r="L772" s="79">
        <f>SUM(M771:$Q771)/L769</f>
        <v>4846.224675546</v>
      </c>
      <c r="M772" s="95">
        <f>SUM(N771:$Q771)/M769</f>
        <v>4943.149169056918</v>
      </c>
      <c r="N772" s="79">
        <f>SUM(O771:$Q771)/N769</f>
        <v>5042.012152438057</v>
      </c>
      <c r="O772" s="79">
        <f>SUM(P771:$Q771)/O769</f>
        <v>5142.852395486816</v>
      </c>
      <c r="P772" s="79">
        <f>SUM(Q771:$Q771)/P769</f>
        <v>5245.709443396552</v>
      </c>
      <c r="Q772" s="79"/>
      <c r="R772" s="69"/>
      <c r="S772" s="69"/>
      <c r="T772" s="69"/>
      <c r="U772" s="69"/>
      <c r="V772" s="69"/>
      <c r="W772" s="69"/>
      <c r="X772" s="69"/>
      <c r="Y772" s="69"/>
      <c r="Z772" s="69"/>
      <c r="AA772" s="69"/>
      <c r="AB772" s="69"/>
      <c r="AC772" s="69"/>
      <c r="AD772" s="69"/>
      <c r="AE772" s="69"/>
      <c r="AF772" s="69"/>
      <c r="AG772" s="69"/>
      <c r="AH772" s="69"/>
      <c r="AI772" s="69"/>
      <c r="AJ772" s="69"/>
      <c r="AK772" s="69"/>
      <c r="AL772" s="69"/>
      <c r="AM772" s="69"/>
      <c r="AN772" s="69"/>
      <c r="AO772" s="69"/>
    </row>
    <row r="773" spans="1:17" ht="12" customHeight="1">
      <c r="A773" s="16"/>
      <c r="C773" s="89" t="s">
        <v>56</v>
      </c>
      <c r="D773" s="68">
        <f>D772</f>
        <v>3602.6145755071393</v>
      </c>
      <c r="E773" s="68">
        <f aca="true" t="shared" si="525" ref="E773:P773">D773*(1+D768)-E770</f>
        <v>3847.3760330578534</v>
      </c>
      <c r="F773" s="68">
        <f t="shared" si="525"/>
        <v>4252.613636363639</v>
      </c>
      <c r="G773" s="100">
        <f t="shared" si="525"/>
        <v>4389.375000000002</v>
      </c>
      <c r="H773" s="68">
        <f t="shared" si="525"/>
        <v>4477.162500000002</v>
      </c>
      <c r="I773" s="68">
        <f t="shared" si="525"/>
        <v>4566.705750000003</v>
      </c>
      <c r="J773" s="68">
        <f t="shared" si="525"/>
        <v>4658.0398650000025</v>
      </c>
      <c r="K773" s="68">
        <f t="shared" si="525"/>
        <v>4751.2006623000025</v>
      </c>
      <c r="L773" s="68">
        <f t="shared" si="525"/>
        <v>4846.224675546003</v>
      </c>
      <c r="M773" s="100">
        <f t="shared" si="525"/>
        <v>4943.149169056923</v>
      </c>
      <c r="N773" s="68">
        <f t="shared" si="525"/>
        <v>5042.012152438061</v>
      </c>
      <c r="O773" s="68">
        <f t="shared" si="525"/>
        <v>5142.8523954868215</v>
      </c>
      <c r="P773" s="68">
        <f t="shared" si="525"/>
        <v>5245.7094433965585</v>
      </c>
      <c r="Q773" s="68"/>
    </row>
    <row r="774" spans="1:13" ht="9" customHeight="1">
      <c r="A774" s="16"/>
      <c r="D774" s="41"/>
      <c r="E774" s="5"/>
      <c r="M774" s="31"/>
    </row>
    <row r="775" spans="1:41" s="7" customFormat="1" ht="13.5" customHeight="1">
      <c r="A775" s="16"/>
      <c r="C775" s="7" t="s">
        <v>57</v>
      </c>
      <c r="D775" s="49">
        <f aca="true" t="shared" si="526" ref="D775:P775">(D773*D768+D755*D757-D751*D756*E$30)/(D773+D755)</f>
        <v>0.09559049587872044</v>
      </c>
      <c r="E775" s="49">
        <f t="shared" si="526"/>
        <v>0.09579232882428627</v>
      </c>
      <c r="F775" s="49">
        <f t="shared" si="526"/>
        <v>0.09608873436975289</v>
      </c>
      <c r="G775" s="49">
        <f t="shared" si="526"/>
        <v>0.0961795606494747</v>
      </c>
      <c r="H775" s="49">
        <f t="shared" si="526"/>
        <v>0.09617956064947471</v>
      </c>
      <c r="I775" s="49">
        <f t="shared" si="526"/>
        <v>0.0961795606494747</v>
      </c>
      <c r="J775" s="49">
        <f t="shared" si="526"/>
        <v>0.09617956064947468</v>
      </c>
      <c r="K775" s="49">
        <f t="shared" si="526"/>
        <v>0.09617956064947472</v>
      </c>
      <c r="L775" s="49">
        <f t="shared" si="526"/>
        <v>0.0961795606494747</v>
      </c>
      <c r="M775" s="49">
        <f t="shared" si="526"/>
        <v>0.09617956064947471</v>
      </c>
      <c r="N775" s="49">
        <f t="shared" si="526"/>
        <v>0.09617956064947471</v>
      </c>
      <c r="O775" s="49">
        <f t="shared" si="526"/>
        <v>0.09617956064947471</v>
      </c>
      <c r="P775" s="49">
        <f t="shared" si="526"/>
        <v>0.0961795606494747</v>
      </c>
      <c r="Q775" s="49">
        <f>P775</f>
        <v>0.0961795606494747</v>
      </c>
      <c r="R775" s="56"/>
      <c r="S775" s="56"/>
      <c r="T775" s="56"/>
      <c r="U775" s="56"/>
      <c r="V775" s="56"/>
      <c r="W775" s="56"/>
      <c r="X775" s="56"/>
      <c r="Y775" s="56"/>
      <c r="Z775" s="56"/>
      <c r="AA775" s="56"/>
      <c r="AB775" s="56"/>
      <c r="AC775" s="56"/>
      <c r="AD775" s="56"/>
      <c r="AE775" s="56"/>
      <c r="AF775" s="56"/>
      <c r="AG775" s="56"/>
      <c r="AH775" s="56"/>
      <c r="AI775" s="56"/>
      <c r="AJ775" s="56"/>
      <c r="AK775" s="56"/>
      <c r="AL775" s="56"/>
      <c r="AM775" s="56"/>
      <c r="AN775" s="56"/>
      <c r="AO775" s="56"/>
    </row>
    <row r="776" spans="1:17" ht="13.5" customHeight="1" hidden="1">
      <c r="A776" s="16"/>
      <c r="C776" s="21" t="s">
        <v>58</v>
      </c>
      <c r="D776" s="12">
        <v>1</v>
      </c>
      <c r="E776" s="12">
        <f>1/(1+D775)</f>
        <v>0.9127497945278799</v>
      </c>
      <c r="F776" s="12">
        <f aca="true" t="shared" si="527" ref="F776:Q776">E776/(1+E775)</f>
        <v>0.8329587372702278</v>
      </c>
      <c r="G776" s="98">
        <f t="shared" si="527"/>
        <v>0.7599373218165372</v>
      </c>
      <c r="H776" s="12">
        <f t="shared" si="527"/>
        <v>0.6932598901646027</v>
      </c>
      <c r="I776" s="12">
        <f t="shared" si="527"/>
        <v>0.6324327829592568</v>
      </c>
      <c r="J776" s="12">
        <f t="shared" si="527"/>
        <v>0.5769426886454142</v>
      </c>
      <c r="K776" s="12">
        <f t="shared" si="527"/>
        <v>0.5263213339825291</v>
      </c>
      <c r="L776" s="12">
        <f t="shared" si="527"/>
        <v>0.48014153235140544</v>
      </c>
      <c r="M776" s="98">
        <f t="shared" si="527"/>
        <v>0.4380135787853285</v>
      </c>
      <c r="N776" s="12">
        <f t="shared" si="527"/>
        <v>0.39958196130368473</v>
      </c>
      <c r="O776" s="12">
        <f t="shared" si="527"/>
        <v>0.3645223607954674</v>
      </c>
      <c r="P776" s="12">
        <f t="shared" si="527"/>
        <v>0.3325389141351001</v>
      </c>
      <c r="Q776" s="12">
        <f t="shared" si="527"/>
        <v>0.3033617174343904</v>
      </c>
    </row>
    <row r="777" spans="1:17" ht="13.5" customHeight="1" hidden="1">
      <c r="A777" s="45"/>
      <c r="B777" s="42"/>
      <c r="C777" s="42" t="s">
        <v>31</v>
      </c>
      <c r="D777" s="42"/>
      <c r="E777" s="23">
        <f>E$41</f>
        <v>243</v>
      </c>
      <c r="F777" s="23">
        <f aca="true" t="shared" si="528" ref="F777:P777">F$41</f>
        <v>107</v>
      </c>
      <c r="G777" s="23">
        <f t="shared" si="528"/>
        <v>416</v>
      </c>
      <c r="H777" s="23">
        <f t="shared" si="528"/>
        <v>448.6500000000001</v>
      </c>
      <c r="I777" s="23">
        <f t="shared" si="528"/>
        <v>457.6229999999999</v>
      </c>
      <c r="J777" s="23">
        <f t="shared" si="528"/>
        <v>466.7754600000002</v>
      </c>
      <c r="K777" s="23">
        <f t="shared" si="528"/>
        <v>476.1109691999999</v>
      </c>
      <c r="L777" s="23">
        <f t="shared" si="528"/>
        <v>485.63318858399964</v>
      </c>
      <c r="M777" s="23">
        <f t="shared" si="528"/>
        <v>495.3458523556802</v>
      </c>
      <c r="N777" s="23">
        <f t="shared" si="528"/>
        <v>505.2527694027938</v>
      </c>
      <c r="O777" s="23">
        <f t="shared" si="528"/>
        <v>515.35782479085</v>
      </c>
      <c r="P777" s="23">
        <f t="shared" si="528"/>
        <v>525.6649812866659</v>
      </c>
      <c r="Q777" s="1">
        <f>P777*(1+O$5)+P777*(1+O$5)*(1+O$5)/(P775-O$5)</f>
        <v>7715.293543169015</v>
      </c>
    </row>
    <row r="778" spans="1:17" ht="13.5" customHeight="1" hidden="1">
      <c r="A778" s="16"/>
      <c r="C778" s="21" t="s">
        <v>38</v>
      </c>
      <c r="D778" s="1"/>
      <c r="E778" s="1">
        <f aca="true" t="shared" si="529" ref="E778:Q778">E777*E776</f>
        <v>221.79820007027482</v>
      </c>
      <c r="F778" s="1">
        <f t="shared" si="529"/>
        <v>89.12658488791438</v>
      </c>
      <c r="G778" s="29">
        <f t="shared" si="529"/>
        <v>316.13392587567944</v>
      </c>
      <c r="H778" s="1">
        <f t="shared" si="529"/>
        <v>311.03104972234905</v>
      </c>
      <c r="I778" s="1">
        <f t="shared" si="529"/>
        <v>289.4157874361639</v>
      </c>
      <c r="J778" s="1">
        <f t="shared" si="529"/>
        <v>269.3026888861001</v>
      </c>
      <c r="K778" s="1">
        <f t="shared" si="529"/>
        <v>250.58736043305876</v>
      </c>
      <c r="L778" s="1">
        <f t="shared" si="529"/>
        <v>233.17266332742065</v>
      </c>
      <c r="M778" s="29">
        <f t="shared" si="529"/>
        <v>216.96820952678044</v>
      </c>
      <c r="N778" s="1">
        <f t="shared" si="529"/>
        <v>201.88989255208668</v>
      </c>
      <c r="O778" s="1">
        <f t="shared" si="529"/>
        <v>187.85945094717752</v>
      </c>
      <c r="P778" s="1">
        <f t="shared" si="529"/>
        <v>174.8040620759156</v>
      </c>
      <c r="Q778" s="1">
        <f t="shared" si="529"/>
        <v>2340.5246997662152</v>
      </c>
    </row>
    <row r="779" spans="1:17" ht="13.5" customHeight="1">
      <c r="A779" s="16"/>
      <c r="B779" s="4" t="s">
        <v>59</v>
      </c>
      <c r="C779" s="42" t="s">
        <v>60</v>
      </c>
      <c r="D779" s="18">
        <f>SUM(E778:$Q778)/D776</f>
        <v>5102.6145755071375</v>
      </c>
      <c r="E779" s="18">
        <f>SUM(F778:$Q778)/E776</f>
        <v>5347.37603305785</v>
      </c>
      <c r="F779" s="18">
        <f>SUM(G778:$Q778)/F776</f>
        <v>5752.613636363636</v>
      </c>
      <c r="G779" s="91">
        <f>SUM(H778:$Q778)/G776</f>
        <v>5889.374999999999</v>
      </c>
      <c r="H779" s="18">
        <f>SUM(I778:$Q778)/H776</f>
        <v>6007.1624999999985</v>
      </c>
      <c r="I779" s="18">
        <f>SUM(J778:$Q778)/I776</f>
        <v>6127.305749999999</v>
      </c>
      <c r="J779" s="18">
        <f>SUM(K778:$Q778)/J776</f>
        <v>6249.851864999998</v>
      </c>
      <c r="K779" s="18">
        <f>SUM(L778:$Q778)/K776</f>
        <v>6374.8489022999975</v>
      </c>
      <c r="L779" s="18">
        <f>SUM(M778:$Q778)/L776</f>
        <v>6502.345880345997</v>
      </c>
      <c r="M779" s="91">
        <f>SUM(N778:$Q778)/M776</f>
        <v>6632.392797952916</v>
      </c>
      <c r="N779" s="18">
        <f>SUM(O778:$Q778)/N776</f>
        <v>6765.040653911973</v>
      </c>
      <c r="O779" s="18">
        <f>SUM(P778:$Q778)/O776</f>
        <v>6900.341466990212</v>
      </c>
      <c r="P779" s="18">
        <f>SUM(Q778:$Q778)/P776</f>
        <v>7038.348296330016</v>
      </c>
      <c r="Q779" s="18"/>
    </row>
    <row r="780" spans="1:41" s="65" customFormat="1" ht="12.75" customHeight="1" thickBot="1">
      <c r="A780" s="64"/>
      <c r="B780" s="65" t="s">
        <v>48</v>
      </c>
      <c r="C780" s="77" t="s">
        <v>61</v>
      </c>
      <c r="D780" s="79">
        <f aca="true" t="shared" si="530" ref="D780:P780">D779-D755</f>
        <v>3602.6145755071393</v>
      </c>
      <c r="E780" s="79">
        <f t="shared" si="530"/>
        <v>3847.3760330578516</v>
      </c>
      <c r="F780" s="79">
        <f t="shared" si="530"/>
        <v>4252.613636363638</v>
      </c>
      <c r="G780" s="95">
        <f t="shared" si="530"/>
        <v>4389.375000000001</v>
      </c>
      <c r="H780" s="79">
        <f t="shared" si="530"/>
        <v>4477.1625</v>
      </c>
      <c r="I780" s="79">
        <f t="shared" si="530"/>
        <v>4566.70575</v>
      </c>
      <c r="J780" s="79">
        <f t="shared" si="530"/>
        <v>4658.039865</v>
      </c>
      <c r="K780" s="79">
        <f t="shared" si="530"/>
        <v>4751.2006623</v>
      </c>
      <c r="L780" s="79">
        <f t="shared" si="530"/>
        <v>4846.224675545999</v>
      </c>
      <c r="M780" s="95">
        <f t="shared" si="530"/>
        <v>4943.149169056918</v>
      </c>
      <c r="N780" s="79">
        <f t="shared" si="530"/>
        <v>5042.012152438055</v>
      </c>
      <c r="O780" s="79">
        <f t="shared" si="530"/>
        <v>5142.852395486815</v>
      </c>
      <c r="P780" s="79">
        <f t="shared" si="530"/>
        <v>5245.70944339655</v>
      </c>
      <c r="Q780" s="108"/>
      <c r="R780" s="69"/>
      <c r="S780" s="69"/>
      <c r="T780" s="69"/>
      <c r="U780" s="69"/>
      <c r="V780" s="69"/>
      <c r="W780" s="69"/>
      <c r="X780" s="69"/>
      <c r="Y780" s="69"/>
      <c r="Z780" s="69"/>
      <c r="AA780" s="69"/>
      <c r="AB780" s="69"/>
      <c r="AC780" s="69"/>
      <c r="AD780" s="69"/>
      <c r="AE780" s="69"/>
      <c r="AF780" s="69"/>
      <c r="AG780" s="69"/>
      <c r="AH780" s="69"/>
      <c r="AI780" s="69"/>
      <c r="AJ780" s="69"/>
      <c r="AK780" s="69"/>
      <c r="AL780" s="69"/>
      <c r="AM780" s="69"/>
      <c r="AN780" s="69"/>
      <c r="AO780" s="69"/>
    </row>
    <row r="781" spans="1:17" ht="12.75" customHeight="1">
      <c r="A781" s="16"/>
      <c r="C781" s="72" t="s">
        <v>62</v>
      </c>
      <c r="D781" s="70">
        <f>D779</f>
        <v>5102.6145755071375</v>
      </c>
      <c r="E781" s="70">
        <f aca="true" t="shared" si="531" ref="E781:P781">D781*(1+D775)-E734</f>
        <v>2014.4876033057844</v>
      </c>
      <c r="F781" s="70">
        <f t="shared" si="531"/>
        <v>-1769.017210513172</v>
      </c>
      <c r="G781" s="29">
        <f t="shared" si="531"/>
        <v>-6047.124835349694</v>
      </c>
      <c r="H781" s="70">
        <f t="shared" si="531"/>
        <v>-10819.022145206152</v>
      </c>
      <c r="I781" s="70">
        <f t="shared" si="531"/>
        <v>-16133.684191789016</v>
      </c>
      <c r="J781" s="70">
        <f t="shared" si="531"/>
        <v>-22044.989964012657</v>
      </c>
      <c r="K781" s="70">
        <f t="shared" si="531"/>
        <v>-28612.03403057347</v>
      </c>
      <c r="L781" s="70">
        <f t="shared" si="531"/>
        <v>-35899.62884256784</v>
      </c>
      <c r="M781" s="29">
        <f t="shared" si="531"/>
        <v>-43978.855360764144</v>
      </c>
      <c r="N781" s="70">
        <f t="shared" si="531"/>
        <v>-52927.66665564093</v>
      </c>
      <c r="O781" s="70">
        <f t="shared" si="531"/>
        <v>-62831.54957536225</v>
      </c>
      <c r="P781" s="70">
        <f t="shared" si="531"/>
        <v>-73784.2500669178</v>
      </c>
      <c r="Q781" s="88"/>
    </row>
    <row r="782" spans="1:17" ht="6.75" customHeight="1">
      <c r="A782" s="16"/>
      <c r="C782" s="6"/>
      <c r="D782" s="6"/>
      <c r="E782" s="44"/>
      <c r="F782" s="44"/>
      <c r="G782" s="30"/>
      <c r="H782" s="44"/>
      <c r="I782" s="44"/>
      <c r="J782" s="44"/>
      <c r="K782" s="44"/>
      <c r="L782" s="44"/>
      <c r="M782" s="30"/>
      <c r="N782" s="44"/>
      <c r="O782" s="44"/>
      <c r="P782" s="44"/>
      <c r="Q782" s="44"/>
    </row>
    <row r="783" spans="1:41" s="7" customFormat="1" ht="13.5" customHeight="1">
      <c r="A783" s="16"/>
      <c r="C783" s="7" t="s">
        <v>63</v>
      </c>
      <c r="D783" s="49">
        <f aca="true" t="shared" si="532" ref="D783:P783">(D755*D757+D764*D768)/(D755+D764)</f>
        <v>0.10382157023844231</v>
      </c>
      <c r="E783" s="49">
        <f t="shared" si="532"/>
        <v>0.10364664835228525</v>
      </c>
      <c r="F783" s="49">
        <f t="shared" si="532"/>
        <v>0.10338976354621417</v>
      </c>
      <c r="G783" s="132">
        <f t="shared" si="532"/>
        <v>0.10331104743712193</v>
      </c>
      <c r="H783" s="49">
        <f t="shared" si="532"/>
        <v>0.10331104743712194</v>
      </c>
      <c r="I783" s="49">
        <f t="shared" si="532"/>
        <v>0.10331104743712194</v>
      </c>
      <c r="J783" s="49">
        <f t="shared" si="532"/>
        <v>0.10331104743712191</v>
      </c>
      <c r="K783" s="49">
        <f t="shared" si="532"/>
        <v>0.10331104743712193</v>
      </c>
      <c r="L783" s="49">
        <f t="shared" si="532"/>
        <v>0.10331104743712194</v>
      </c>
      <c r="M783" s="132">
        <f t="shared" si="532"/>
        <v>0.10331104743712194</v>
      </c>
      <c r="N783" s="49">
        <f t="shared" si="532"/>
        <v>0.10331104743712194</v>
      </c>
      <c r="O783" s="49">
        <f t="shared" si="532"/>
        <v>0.10331104743712194</v>
      </c>
      <c r="P783" s="49">
        <f t="shared" si="532"/>
        <v>0.10331104743712193</v>
      </c>
      <c r="Q783" s="49">
        <f>P783</f>
        <v>0.10331104743712193</v>
      </c>
      <c r="R783" s="56"/>
      <c r="S783" s="56"/>
      <c r="T783" s="56"/>
      <c r="U783" s="56"/>
      <c r="V783" s="56"/>
      <c r="W783" s="56"/>
      <c r="X783" s="56"/>
      <c r="Y783" s="56"/>
      <c r="Z783" s="56"/>
      <c r="AA783" s="56"/>
      <c r="AB783" s="56"/>
      <c r="AC783" s="56"/>
      <c r="AD783" s="56"/>
      <c r="AE783" s="56"/>
      <c r="AF783" s="56"/>
      <c r="AG783" s="56"/>
      <c r="AH783" s="56"/>
      <c r="AI783" s="56"/>
      <c r="AJ783" s="56"/>
      <c r="AK783" s="56"/>
      <c r="AL783" s="56"/>
      <c r="AM783" s="56"/>
      <c r="AN783" s="56"/>
      <c r="AO783" s="56"/>
    </row>
    <row r="784" spans="1:17" ht="13.5" customHeight="1" hidden="1">
      <c r="A784" s="16"/>
      <c r="C784" s="21" t="s">
        <v>64</v>
      </c>
      <c r="D784" s="12">
        <v>1</v>
      </c>
      <c r="E784" s="12">
        <f>1/(1+D783)</f>
        <v>0.9059435210928019</v>
      </c>
      <c r="F784" s="12">
        <f aca="true" t="shared" si="533" ref="F784:Q784">E784/(1+E783)</f>
        <v>0.8208637451537149</v>
      </c>
      <c r="G784" s="98">
        <f t="shared" si="533"/>
        <v>0.7439472181756687</v>
      </c>
      <c r="H784" s="12">
        <f t="shared" si="533"/>
        <v>0.6742860228797505</v>
      </c>
      <c r="I784" s="12">
        <f t="shared" si="533"/>
        <v>0.6111477125567151</v>
      </c>
      <c r="J784" s="12">
        <f t="shared" si="533"/>
        <v>0.5539215019883543</v>
      </c>
      <c r="K784" s="12">
        <f t="shared" si="533"/>
        <v>0.502053798224043</v>
      </c>
      <c r="L784" s="12">
        <f t="shared" si="533"/>
        <v>0.4550428452522634</v>
      </c>
      <c r="M784" s="98">
        <f t="shared" si="533"/>
        <v>0.41243387013053223</v>
      </c>
      <c r="N784" s="12">
        <f t="shared" si="533"/>
        <v>0.373814683618526</v>
      </c>
      <c r="O784" s="12">
        <f t="shared" si="533"/>
        <v>0.3388116927559631</v>
      </c>
      <c r="P784" s="12">
        <f t="shared" si="533"/>
        <v>0.307086286811854</v>
      </c>
      <c r="Q784" s="12">
        <f t="shared" si="533"/>
        <v>0.2783315616436397</v>
      </c>
    </row>
    <row r="785" spans="1:17" ht="13.5" customHeight="1" hidden="1">
      <c r="A785" s="45"/>
      <c r="B785" s="42"/>
      <c r="C785" s="42" t="s">
        <v>33</v>
      </c>
      <c r="D785" s="42"/>
      <c r="E785" s="23">
        <f>E$43</f>
        <v>285</v>
      </c>
      <c r="F785" s="23">
        <f aca="true" t="shared" si="534" ref="F785:P785">F$43</f>
        <v>149</v>
      </c>
      <c r="G785" s="23">
        <f t="shared" si="534"/>
        <v>458</v>
      </c>
      <c r="H785" s="23">
        <f t="shared" si="534"/>
        <v>490.6500000000001</v>
      </c>
      <c r="I785" s="23">
        <f t="shared" si="534"/>
        <v>500.46299999999985</v>
      </c>
      <c r="J785" s="23">
        <f t="shared" si="534"/>
        <v>510.4722600000002</v>
      </c>
      <c r="K785" s="23">
        <f t="shared" si="534"/>
        <v>520.6817051999999</v>
      </c>
      <c r="L785" s="23">
        <f t="shared" si="534"/>
        <v>531.0953393039996</v>
      </c>
      <c r="M785" s="23">
        <f t="shared" si="534"/>
        <v>541.7172460900803</v>
      </c>
      <c r="N785" s="23">
        <f t="shared" si="534"/>
        <v>552.5515910118818</v>
      </c>
      <c r="O785" s="23">
        <f t="shared" si="534"/>
        <v>563.6026228321198</v>
      </c>
      <c r="P785" s="23">
        <f t="shared" si="534"/>
        <v>574.8746752887611</v>
      </c>
      <c r="Q785" s="1">
        <f>P785*(1+O$5)+P785*(1+O$5)*(1+O$5)/(P783-O$5)</f>
        <v>7765.487431051153</v>
      </c>
    </row>
    <row r="786" spans="1:17" ht="13.5" customHeight="1" hidden="1">
      <c r="A786" s="16"/>
      <c r="C786" s="21" t="s">
        <v>65</v>
      </c>
      <c r="D786" s="1"/>
      <c r="E786" s="1">
        <f aca="true" t="shared" si="535" ref="E786:Q786">E785*E784</f>
        <v>258.1939035114485</v>
      </c>
      <c r="F786" s="1">
        <f t="shared" si="535"/>
        <v>122.30869802790352</v>
      </c>
      <c r="G786" s="29">
        <f t="shared" si="535"/>
        <v>340.7278259244562</v>
      </c>
      <c r="H786" s="1">
        <f t="shared" si="535"/>
        <v>330.8384371259496</v>
      </c>
      <c r="I786" s="1">
        <f t="shared" si="535"/>
        <v>305.8568176692712</v>
      </c>
      <c r="J786" s="1">
        <f t="shared" si="535"/>
        <v>282.7615609825898</v>
      </c>
      <c r="K786" s="1">
        <f t="shared" si="535"/>
        <v>261.4102277614314</v>
      </c>
      <c r="L786" s="1">
        <f t="shared" si="535"/>
        <v>241.6711342971082</v>
      </c>
      <c r="M786" s="29">
        <f t="shared" si="535"/>
        <v>223.42254032138572</v>
      </c>
      <c r="N786" s="1">
        <f t="shared" si="535"/>
        <v>206.55189817701975</v>
      </c>
      <c r="O786" s="1">
        <f t="shared" si="535"/>
        <v>190.95515868345115</v>
      </c>
      <c r="P786" s="1">
        <f t="shared" si="535"/>
        <v>176.53612941659594</v>
      </c>
      <c r="Q786" s="1">
        <f t="shared" si="535"/>
        <v>2161.3802436085234</v>
      </c>
    </row>
    <row r="787" spans="1:17" ht="13.5" customHeight="1">
      <c r="A787" s="16"/>
      <c r="B787" s="4" t="s">
        <v>59</v>
      </c>
      <c r="C787" s="42" t="s">
        <v>66</v>
      </c>
      <c r="D787" s="18">
        <f>SUM(E786:$Q786)/D784</f>
        <v>5102.614575507135</v>
      </c>
      <c r="E787" s="18">
        <f>SUM(F786:$Q786)/E784</f>
        <v>5347.376033057848</v>
      </c>
      <c r="F787" s="18">
        <f>SUM(G786:$Q786)/F784</f>
        <v>5752.613636363633</v>
      </c>
      <c r="G787" s="91">
        <f>SUM(H786:$Q786)/G784</f>
        <v>5889.374999999996</v>
      </c>
      <c r="H787" s="18">
        <f>SUM(I786:$Q786)/H784</f>
        <v>6007.162499999997</v>
      </c>
      <c r="I787" s="18">
        <f>SUM(J786:$Q786)/I784</f>
        <v>6127.305749999996</v>
      </c>
      <c r="J787" s="18">
        <f>SUM(K786:$Q786)/J784</f>
        <v>6249.851864999996</v>
      </c>
      <c r="K787" s="18">
        <f>SUM(L786:$Q786)/K784</f>
        <v>6374.848902299997</v>
      </c>
      <c r="L787" s="18">
        <f>SUM(M786:$Q786)/L784</f>
        <v>6502.345880345997</v>
      </c>
      <c r="M787" s="91">
        <f>SUM(N786:$Q786)/M784</f>
        <v>6632.392797952916</v>
      </c>
      <c r="N787" s="18">
        <f>SUM(O786:$Q786)/N784</f>
        <v>6765.040653911974</v>
      </c>
      <c r="O787" s="18">
        <f>SUM(P786:$Q786)/O784</f>
        <v>6900.341466990211</v>
      </c>
      <c r="P787" s="18">
        <f>SUM(Q786:$Q786)/P784</f>
        <v>7038.348296330016</v>
      </c>
      <c r="Q787" s="18"/>
    </row>
    <row r="788" spans="1:41" s="65" customFormat="1" ht="12.75" customHeight="1" thickBot="1">
      <c r="A788" s="64"/>
      <c r="B788" s="65" t="s">
        <v>48</v>
      </c>
      <c r="C788" s="77" t="s">
        <v>67</v>
      </c>
      <c r="D788" s="79">
        <f aca="true" t="shared" si="536" ref="D788:P788">D787-D755</f>
        <v>3602.6145755071366</v>
      </c>
      <c r="E788" s="79">
        <f t="shared" si="536"/>
        <v>3847.37603305785</v>
      </c>
      <c r="F788" s="79">
        <f t="shared" si="536"/>
        <v>4252.613636363635</v>
      </c>
      <c r="G788" s="95">
        <f t="shared" si="536"/>
        <v>4389.374999999998</v>
      </c>
      <c r="H788" s="79">
        <f t="shared" si="536"/>
        <v>4477.1624999999985</v>
      </c>
      <c r="I788" s="79">
        <f t="shared" si="536"/>
        <v>4566.705749999997</v>
      </c>
      <c r="J788" s="79">
        <f t="shared" si="536"/>
        <v>4658.039864999998</v>
      </c>
      <c r="K788" s="79">
        <f t="shared" si="536"/>
        <v>4751.200662299998</v>
      </c>
      <c r="L788" s="79">
        <f t="shared" si="536"/>
        <v>4846.224675545999</v>
      </c>
      <c r="M788" s="95">
        <f t="shared" si="536"/>
        <v>4943.149169056918</v>
      </c>
      <c r="N788" s="79">
        <f t="shared" si="536"/>
        <v>5042.012152438056</v>
      </c>
      <c r="O788" s="79">
        <f t="shared" si="536"/>
        <v>5142.852395486814</v>
      </c>
      <c r="P788" s="79">
        <f t="shared" si="536"/>
        <v>5245.70944339655</v>
      </c>
      <c r="Q788" s="108"/>
      <c r="R788" s="69"/>
      <c r="S788" s="69"/>
      <c r="T788" s="69"/>
      <c r="U788" s="69"/>
      <c r="V788" s="69"/>
      <c r="W788" s="69"/>
      <c r="X788" s="69"/>
      <c r="Y788" s="69"/>
      <c r="Z788" s="69"/>
      <c r="AA788" s="69"/>
      <c r="AB788" s="69"/>
      <c r="AC788" s="69"/>
      <c r="AD788" s="69"/>
      <c r="AE788" s="69"/>
      <c r="AF788" s="69"/>
      <c r="AG788" s="69"/>
      <c r="AH788" s="69"/>
      <c r="AI788" s="69"/>
      <c r="AJ788" s="69"/>
      <c r="AK788" s="69"/>
      <c r="AL788" s="69"/>
      <c r="AM788" s="69"/>
      <c r="AN788" s="69"/>
      <c r="AO788" s="69"/>
    </row>
    <row r="789" spans="1:17" ht="7.5" customHeight="1">
      <c r="A789" s="16"/>
      <c r="D789" s="40"/>
      <c r="E789" s="40"/>
      <c r="F789" s="40"/>
      <c r="G789" s="33"/>
      <c r="H789" s="40"/>
      <c r="I789" s="40"/>
      <c r="J789" s="22"/>
      <c r="K789" s="22"/>
      <c r="L789" s="22"/>
      <c r="M789" s="26"/>
      <c r="N789" s="22"/>
      <c r="O789" s="22"/>
      <c r="P789" s="22"/>
      <c r="Q789" s="22"/>
    </row>
    <row r="790" spans="1:17" ht="12.75" customHeight="1">
      <c r="A790" s="16"/>
      <c r="C790" s="73" t="s">
        <v>68</v>
      </c>
      <c r="D790" s="70"/>
      <c r="E790" s="70">
        <f aca="true" t="shared" si="537" ref="E790:P790">E$29-D$14*D768</f>
        <v>138.12998948922646</v>
      </c>
      <c r="F790" s="70">
        <f t="shared" si="537"/>
        <v>304.18106684280906</v>
      </c>
      <c r="G790" s="70">
        <f t="shared" si="537"/>
        <v>306.43148598455497</v>
      </c>
      <c r="H790" s="70">
        <f t="shared" si="537"/>
        <v>315.76217428449394</v>
      </c>
      <c r="I790" s="70">
        <f t="shared" si="537"/>
        <v>322.07741777018384</v>
      </c>
      <c r="J790" s="70">
        <f t="shared" si="537"/>
        <v>328.5189661255875</v>
      </c>
      <c r="K790" s="70">
        <f t="shared" si="537"/>
        <v>335.0893454480991</v>
      </c>
      <c r="L790" s="70">
        <f t="shared" si="537"/>
        <v>341.7911323570612</v>
      </c>
      <c r="M790" s="70">
        <f t="shared" si="537"/>
        <v>348.6269550042024</v>
      </c>
      <c r="N790" s="70">
        <f t="shared" si="537"/>
        <v>355.59949410428646</v>
      </c>
      <c r="O790" s="70">
        <f t="shared" si="537"/>
        <v>362.71148398637206</v>
      </c>
      <c r="P790" s="70">
        <f t="shared" si="537"/>
        <v>369.9657136660997</v>
      </c>
      <c r="Q790" s="1">
        <f>P790*(1+O$5)+P790*(1+O$5)*(1+O$5)/(P768-O$5)</f>
        <v>4594.323849608786</v>
      </c>
    </row>
    <row r="791" spans="1:41" s="42" customFormat="1" ht="12.75" customHeight="1">
      <c r="A791" s="45"/>
      <c r="C791" s="39" t="s">
        <v>69</v>
      </c>
      <c r="D791" s="18"/>
      <c r="E791" s="18">
        <f aca="true" t="shared" si="538" ref="E791:P791">E$29+E$25*(1-$F$1)-(D$13+D$14)*D775</f>
        <v>81.81900824255911</v>
      </c>
      <c r="F791" s="18">
        <f t="shared" si="538"/>
        <v>247.54157248669887</v>
      </c>
      <c r="G791" s="18">
        <f t="shared" si="538"/>
        <v>253.75014321553442</v>
      </c>
      <c r="H791" s="18">
        <f t="shared" si="538"/>
        <v>263.5336676217766</v>
      </c>
      <c r="I791" s="18">
        <f t="shared" si="538"/>
        <v>268.80434097421215</v>
      </c>
      <c r="J791" s="18">
        <f t="shared" si="538"/>
        <v>274.1804277936964</v>
      </c>
      <c r="K791" s="18">
        <f t="shared" si="538"/>
        <v>279.6640363495702</v>
      </c>
      <c r="L791" s="18">
        <f t="shared" si="538"/>
        <v>285.25731707656166</v>
      </c>
      <c r="M791" s="18">
        <f t="shared" si="538"/>
        <v>290.9624634180928</v>
      </c>
      <c r="N791" s="18">
        <f t="shared" si="538"/>
        <v>296.7817126864548</v>
      </c>
      <c r="O791" s="18">
        <f t="shared" si="538"/>
        <v>302.71734694018375</v>
      </c>
      <c r="P791" s="18">
        <f t="shared" si="538"/>
        <v>308.7716938789876</v>
      </c>
      <c r="Q791" s="36"/>
      <c r="R791" s="69"/>
      <c r="S791" s="69"/>
      <c r="T791" s="69"/>
      <c r="U791" s="69"/>
      <c r="V791" s="69"/>
      <c r="W791" s="69"/>
      <c r="X791" s="69"/>
      <c r="Y791" s="69"/>
      <c r="Z791" s="69"/>
      <c r="AA791" s="69"/>
      <c r="AB791" s="69"/>
      <c r="AC791" s="69"/>
      <c r="AD791" s="69"/>
      <c r="AE791" s="69"/>
      <c r="AF791" s="69"/>
      <c r="AG791" s="69"/>
      <c r="AH791" s="69"/>
      <c r="AI791" s="69"/>
      <c r="AJ791" s="69"/>
      <c r="AK791" s="69"/>
      <c r="AL791" s="69"/>
      <c r="AM791" s="69"/>
      <c r="AN791" s="69"/>
      <c r="AO791" s="69"/>
    </row>
    <row r="792" spans="1:17" ht="12.75" customHeight="1">
      <c r="A792" s="16"/>
      <c r="C792" s="56"/>
      <c r="D792" s="70"/>
      <c r="E792" s="70"/>
      <c r="F792" s="70"/>
      <c r="G792" s="29"/>
      <c r="H792" s="70"/>
      <c r="I792" s="70"/>
      <c r="J792" s="70"/>
      <c r="K792" s="70"/>
      <c r="L792" s="70"/>
      <c r="M792" s="29"/>
      <c r="N792" s="70"/>
      <c r="O792" s="70"/>
      <c r="P792" s="70"/>
      <c r="Q792" s="71"/>
    </row>
    <row r="793" spans="1:17" ht="12.75" customHeight="1" hidden="1">
      <c r="A793" s="16"/>
      <c r="C793" s="21" t="s">
        <v>53</v>
      </c>
      <c r="D793" s="70"/>
      <c r="E793" s="70">
        <f aca="true" t="shared" si="539" ref="E793:P793">E769</f>
        <v>0.8978756093210853</v>
      </c>
      <c r="F793" s="70">
        <f t="shared" si="539"/>
        <v>0.8068138308021242</v>
      </c>
      <c r="G793" s="29">
        <f t="shared" si="539"/>
        <v>0.7257870380234057</v>
      </c>
      <c r="H793" s="70">
        <f t="shared" si="539"/>
        <v>0.6531106884538893</v>
      </c>
      <c r="I793" s="70">
        <f t="shared" si="539"/>
        <v>0.5877117515550855</v>
      </c>
      <c r="J793" s="70">
        <f t="shared" si="539"/>
        <v>0.5288615069730752</v>
      </c>
      <c r="K793" s="70">
        <f t="shared" si="539"/>
        <v>0.47590420442974024</v>
      </c>
      <c r="L793" s="70">
        <f t="shared" si="539"/>
        <v>0.42824975689795197</v>
      </c>
      <c r="M793" s="29">
        <f t="shared" si="539"/>
        <v>0.38536716544228544</v>
      </c>
      <c r="N793" s="70">
        <f t="shared" si="539"/>
        <v>0.3467786024602692</v>
      </c>
      <c r="O793" s="70">
        <f t="shared" si="539"/>
        <v>0.3120540873955373</v>
      </c>
      <c r="P793" s="70">
        <f t="shared" si="539"/>
        <v>0.2808066955959842</v>
      </c>
      <c r="Q793" s="74">
        <f>P793/(1+$P768)</f>
        <v>0.25268824693069347</v>
      </c>
    </row>
    <row r="794" spans="1:17" ht="12.75" customHeight="1" hidden="1">
      <c r="A794" s="16"/>
      <c r="C794" s="21" t="s">
        <v>70</v>
      </c>
      <c r="D794" s="1"/>
      <c r="E794" s="1">
        <f>E790*E793</f>
        <v>124.02354847815432</v>
      </c>
      <c r="F794" s="1">
        <f aca="true" t="shared" si="540" ref="F794:Q794">F790*F793</f>
        <v>245.41749179692377</v>
      </c>
      <c r="G794" s="29">
        <f t="shared" si="540"/>
        <v>222.40400056984092</v>
      </c>
      <c r="H794" s="1">
        <f t="shared" si="540"/>
        <v>206.22765103464283</v>
      </c>
      <c r="I794" s="1">
        <f t="shared" si="540"/>
        <v>189.28868333405376</v>
      </c>
      <c r="J794" s="1">
        <f t="shared" si="540"/>
        <v>173.74103549441486</v>
      </c>
      <c r="K794" s="1">
        <f t="shared" si="540"/>
        <v>159.47042835836</v>
      </c>
      <c r="L794" s="1">
        <f t="shared" si="540"/>
        <v>146.37196934178718</v>
      </c>
      <c r="M794" s="29">
        <f t="shared" si="540"/>
        <v>134.34938144674467</v>
      </c>
      <c r="N794" s="1">
        <f t="shared" si="540"/>
        <v>123.3142956010632</v>
      </c>
      <c r="O794" s="1">
        <f t="shared" si="540"/>
        <v>113.18560112324838</v>
      </c>
      <c r="P794" s="1">
        <f t="shared" si="540"/>
        <v>103.88884953838752</v>
      </c>
      <c r="Q794" s="1">
        <f t="shared" si="540"/>
        <v>1160.9316393895192</v>
      </c>
    </row>
    <row r="795" spans="1:17" ht="12.75" customHeight="1">
      <c r="A795" s="16"/>
      <c r="C795" s="42" t="s">
        <v>71</v>
      </c>
      <c r="D795" s="18">
        <f>SUM(E794:$Q794)/D769</f>
        <v>3102.6145755071407</v>
      </c>
      <c r="E795" s="18">
        <f>SUM(F794:$Q794)/E769</f>
        <v>3317.376033057855</v>
      </c>
      <c r="F795" s="18">
        <f>SUM(G794:$Q794)/F769</f>
        <v>3387.6136363636397</v>
      </c>
      <c r="G795" s="91">
        <f>SUM(H794:$Q794)/G769</f>
        <v>3459.3750000000036</v>
      </c>
      <c r="H795" s="18">
        <f>SUM(I794:$Q794)/H769</f>
        <v>3528.562500000003</v>
      </c>
      <c r="I795" s="18">
        <f>SUM(J794:$Q794)/I769</f>
        <v>3599.133750000003</v>
      </c>
      <c r="J795" s="18">
        <f>SUM(K794:$Q794)/J769</f>
        <v>3671.1164250000033</v>
      </c>
      <c r="K795" s="18">
        <f>SUM(L794:$Q794)/K769</f>
        <v>3744.5387535000027</v>
      </c>
      <c r="L795" s="18">
        <f>SUM(M794:$Q794)/L769</f>
        <v>3819.4295285700027</v>
      </c>
      <c r="M795" s="91">
        <f>SUM(N794:$Q794)/M769</f>
        <v>3895.818119141403</v>
      </c>
      <c r="N795" s="18">
        <f>SUM(O794:$Q794)/N769</f>
        <v>3973.7344815242304</v>
      </c>
      <c r="O795" s="18">
        <f>SUM(P794:$Q794)/O769</f>
        <v>4053.209171154715</v>
      </c>
      <c r="P795" s="18">
        <f>SUM(Q794:$Q794)/P769</f>
        <v>4134.273354577809</v>
      </c>
      <c r="Q795" s="71"/>
    </row>
    <row r="796" spans="1:41" s="65" customFormat="1" ht="12.75" customHeight="1" thickBot="1">
      <c r="A796" s="64"/>
      <c r="B796" s="65" t="s">
        <v>72</v>
      </c>
      <c r="C796" s="77" t="s">
        <v>73</v>
      </c>
      <c r="D796" s="79">
        <f aca="true" t="shared" si="541" ref="D796:P796">D795+D$14</f>
        <v>3602.6145755071407</v>
      </c>
      <c r="E796" s="79">
        <f t="shared" si="541"/>
        <v>3847.376033057855</v>
      </c>
      <c r="F796" s="79">
        <f t="shared" si="541"/>
        <v>4252.61363636364</v>
      </c>
      <c r="G796" s="79">
        <f t="shared" si="541"/>
        <v>4389.375000000004</v>
      </c>
      <c r="H796" s="79">
        <f t="shared" si="541"/>
        <v>4477.162500000003</v>
      </c>
      <c r="I796" s="79">
        <f t="shared" si="541"/>
        <v>4566.705750000003</v>
      </c>
      <c r="J796" s="79">
        <f t="shared" si="541"/>
        <v>4658.039865000003</v>
      </c>
      <c r="K796" s="79">
        <f t="shared" si="541"/>
        <v>4751.2006623000025</v>
      </c>
      <c r="L796" s="79">
        <f t="shared" si="541"/>
        <v>4846.224675546004</v>
      </c>
      <c r="M796" s="79">
        <f t="shared" si="541"/>
        <v>4943.149169056923</v>
      </c>
      <c r="N796" s="79">
        <f t="shared" si="541"/>
        <v>5042.012152438061</v>
      </c>
      <c r="O796" s="79">
        <f t="shared" si="541"/>
        <v>5142.8523954868215</v>
      </c>
      <c r="P796" s="79">
        <f t="shared" si="541"/>
        <v>5245.7094433965585</v>
      </c>
      <c r="Q796" s="90"/>
      <c r="R796" s="69"/>
      <c r="S796" s="69"/>
      <c r="T796" s="69"/>
      <c r="U796" s="69"/>
      <c r="V796" s="69"/>
      <c r="W796" s="69"/>
      <c r="X796" s="69"/>
      <c r="Y796" s="69"/>
      <c r="Z796" s="69"/>
      <c r="AA796" s="69"/>
      <c r="AB796" s="69"/>
      <c r="AC796" s="69"/>
      <c r="AD796" s="69"/>
      <c r="AE796" s="69"/>
      <c r="AF796" s="69"/>
      <c r="AG796" s="69"/>
      <c r="AH796" s="69"/>
      <c r="AI796" s="69"/>
      <c r="AJ796" s="69"/>
      <c r="AK796" s="69"/>
      <c r="AL796" s="69"/>
      <c r="AM796" s="69"/>
      <c r="AN796" s="69"/>
      <c r="AO796" s="69"/>
    </row>
    <row r="797" spans="1:17" s="69" customFormat="1" ht="6.75" customHeight="1">
      <c r="A797" s="55"/>
      <c r="C797" s="56"/>
      <c r="D797" s="57"/>
      <c r="E797" s="57"/>
      <c r="F797" s="57"/>
      <c r="G797" s="97"/>
      <c r="H797" s="57"/>
      <c r="I797" s="57"/>
      <c r="J797" s="57"/>
      <c r="K797" s="57"/>
      <c r="L797" s="57"/>
      <c r="M797" s="97"/>
      <c r="N797" s="57"/>
      <c r="O797" s="57"/>
      <c r="P797" s="57"/>
      <c r="Q797" s="71"/>
    </row>
    <row r="798" spans="1:17" s="69" customFormat="1" ht="12" customHeight="1" hidden="1">
      <c r="A798" s="75"/>
      <c r="C798" s="69" t="s">
        <v>69</v>
      </c>
      <c r="D798" s="58"/>
      <c r="E798" s="58">
        <f aca="true" t="shared" si="542" ref="E798:P798">E791</f>
        <v>81.81900824255911</v>
      </c>
      <c r="F798" s="58">
        <f t="shared" si="542"/>
        <v>247.54157248669887</v>
      </c>
      <c r="G798" s="93">
        <f t="shared" si="542"/>
        <v>253.75014321553442</v>
      </c>
      <c r="H798" s="58">
        <f t="shared" si="542"/>
        <v>263.5336676217766</v>
      </c>
      <c r="I798" s="58">
        <f t="shared" si="542"/>
        <v>268.80434097421215</v>
      </c>
      <c r="J798" s="58">
        <f t="shared" si="542"/>
        <v>274.1804277936964</v>
      </c>
      <c r="K798" s="58">
        <f t="shared" si="542"/>
        <v>279.6640363495702</v>
      </c>
      <c r="L798" s="58">
        <f t="shared" si="542"/>
        <v>285.25731707656166</v>
      </c>
      <c r="M798" s="93">
        <f t="shared" si="542"/>
        <v>290.9624634180928</v>
      </c>
      <c r="N798" s="58">
        <f t="shared" si="542"/>
        <v>296.7817126864548</v>
      </c>
      <c r="O798" s="58">
        <f t="shared" si="542"/>
        <v>302.71734694018375</v>
      </c>
      <c r="P798" s="58">
        <f t="shared" si="542"/>
        <v>308.7716938789876</v>
      </c>
      <c r="Q798" s="1">
        <f>P798*(1+O$5)+P798*(1+O$5)*(1+O$5)/(P775-O$5)</f>
        <v>4531.905949425932</v>
      </c>
    </row>
    <row r="799" spans="1:17" ht="12" customHeight="1" hidden="1">
      <c r="A799" s="16"/>
      <c r="C799" s="21" t="s">
        <v>74</v>
      </c>
      <c r="D799" s="1"/>
      <c r="E799" s="1">
        <f>E798*E776</f>
        <v>74.68028296187073</v>
      </c>
      <c r="F799" s="1">
        <f aca="true" t="shared" si="543" ref="F799:Q799">F798*F776</f>
        <v>206.19191564040727</v>
      </c>
      <c r="G799" s="29">
        <f t="shared" si="543"/>
        <v>192.83420424577596</v>
      </c>
      <c r="H799" s="1">
        <f t="shared" si="543"/>
        <v>182.69732147014776</v>
      </c>
      <c r="I799" s="1">
        <f t="shared" si="543"/>
        <v>170.00067743384997</v>
      </c>
      <c r="J799" s="1">
        <f t="shared" si="543"/>
        <v>158.18639318524507</v>
      </c>
      <c r="K799" s="1">
        <f t="shared" si="543"/>
        <v>147.19314867844432</v>
      </c>
      <c r="L799" s="1">
        <f t="shared" si="543"/>
        <v>136.96388533559104</v>
      </c>
      <c r="M799" s="29">
        <f t="shared" si="543"/>
        <v>127.44550989395404</v>
      </c>
      <c r="N799" s="1">
        <f t="shared" si="543"/>
        <v>118.58861883432026</v>
      </c>
      <c r="O799" s="1">
        <f t="shared" si="543"/>
        <v>110.34724196037634</v>
      </c>
      <c r="P799" s="1">
        <f t="shared" si="543"/>
        <v>102.67860379817408</v>
      </c>
      <c r="Q799" s="1">
        <f t="shared" si="543"/>
        <v>1374.8067720689821</v>
      </c>
    </row>
    <row r="800" spans="1:17" ht="12" customHeight="1">
      <c r="A800" s="16"/>
      <c r="C800" s="42" t="s">
        <v>75</v>
      </c>
      <c r="D800" s="18">
        <f>SUM(E799:$Q799)/D776</f>
        <v>3102.6145755071384</v>
      </c>
      <c r="E800" s="18">
        <f>SUM(F799:$Q799)/E776</f>
        <v>3317.376033057853</v>
      </c>
      <c r="F800" s="18">
        <f>SUM(G799:$Q799)/F776</f>
        <v>3387.6136363636383</v>
      </c>
      <c r="G800" s="91">
        <f>SUM(H799:$Q799)/G776</f>
        <v>3459.375000000002</v>
      </c>
      <c r="H800" s="18">
        <f>SUM(I799:$Q799)/H776</f>
        <v>3528.5625000000023</v>
      </c>
      <c r="I800" s="18">
        <f>SUM(J799:$Q799)/I776</f>
        <v>3599.1337500000027</v>
      </c>
      <c r="J800" s="18">
        <f>SUM(K799:$Q799)/J776</f>
        <v>3671.1164250000024</v>
      </c>
      <c r="K800" s="18">
        <f>SUM(L799:$Q799)/K776</f>
        <v>3744.5387535000023</v>
      </c>
      <c r="L800" s="18">
        <f>SUM(M799:$Q799)/L776</f>
        <v>3819.4295285700023</v>
      </c>
      <c r="M800" s="91">
        <f>SUM(N799:$Q799)/M776</f>
        <v>3895.8181191414023</v>
      </c>
      <c r="N800" s="18">
        <f>SUM(O799:$Q799)/N776</f>
        <v>3973.7344815242295</v>
      </c>
      <c r="O800" s="18">
        <f>SUM(P799:$Q799)/O776</f>
        <v>4053.209171154714</v>
      </c>
      <c r="P800" s="18">
        <f>SUM(Q799:$Q799)/P776</f>
        <v>4134.273354577808</v>
      </c>
      <c r="Q800" s="18"/>
    </row>
    <row r="801" spans="1:41" s="65" customFormat="1" ht="12.75" customHeight="1" thickBot="1">
      <c r="A801" s="64"/>
      <c r="B801" s="65" t="s">
        <v>76</v>
      </c>
      <c r="C801" s="77"/>
      <c r="D801" s="112">
        <f aca="true" t="shared" si="544" ref="D801:P801">D800+D$14-(D$62-D$58)</f>
        <v>3602.61457550714</v>
      </c>
      <c r="E801" s="112">
        <f t="shared" si="544"/>
        <v>3847.376033057855</v>
      </c>
      <c r="F801" s="112">
        <f t="shared" si="544"/>
        <v>4252.61363636364</v>
      </c>
      <c r="G801" s="112">
        <f t="shared" si="544"/>
        <v>4389.375000000004</v>
      </c>
      <c r="H801" s="112">
        <f t="shared" si="544"/>
        <v>4477.162500000004</v>
      </c>
      <c r="I801" s="112">
        <f t="shared" si="544"/>
        <v>4566.705750000005</v>
      </c>
      <c r="J801" s="112">
        <f t="shared" si="544"/>
        <v>4658.039865000004</v>
      </c>
      <c r="K801" s="112">
        <f t="shared" si="544"/>
        <v>4751.200662300004</v>
      </c>
      <c r="L801" s="112">
        <f t="shared" si="544"/>
        <v>4846.224675546005</v>
      </c>
      <c r="M801" s="112">
        <f t="shared" si="544"/>
        <v>4943.149169056925</v>
      </c>
      <c r="N801" s="112">
        <f t="shared" si="544"/>
        <v>5042.012152438062</v>
      </c>
      <c r="O801" s="112">
        <f t="shared" si="544"/>
        <v>5142.852395486822</v>
      </c>
      <c r="P801" s="112">
        <f t="shared" si="544"/>
        <v>5245.709443396559</v>
      </c>
      <c r="Q801" s="90"/>
      <c r="R801" s="69"/>
      <c r="S801" s="69"/>
      <c r="T801" s="69"/>
      <c r="U801" s="69"/>
      <c r="V801" s="69"/>
      <c r="W801" s="69"/>
      <c r="X801" s="69"/>
      <c r="Y801" s="69"/>
      <c r="Z801" s="69"/>
      <c r="AA801" s="69"/>
      <c r="AB801" s="69"/>
      <c r="AC801" s="69"/>
      <c r="AD801" s="69"/>
      <c r="AE801" s="69"/>
      <c r="AF801" s="69"/>
      <c r="AG801" s="69"/>
      <c r="AH801" s="69"/>
      <c r="AI801" s="69"/>
      <c r="AJ801" s="69"/>
      <c r="AK801" s="69"/>
      <c r="AL801" s="69"/>
      <c r="AM801" s="69"/>
      <c r="AN801" s="69"/>
      <c r="AO801" s="69"/>
    </row>
    <row r="802" spans="1:17" s="69" customFormat="1" ht="12.75" customHeight="1">
      <c r="A802"/>
      <c r="C802" s="56"/>
      <c r="D802" s="57"/>
      <c r="E802" s="57"/>
      <c r="F802" s="57"/>
      <c r="G802" s="97"/>
      <c r="H802" s="57"/>
      <c r="I802" s="57"/>
      <c r="J802" s="57"/>
      <c r="K802" s="57"/>
      <c r="L802" s="57"/>
      <c r="M802" s="97"/>
      <c r="N802" s="57"/>
      <c r="O802" s="57"/>
      <c r="P802" s="57"/>
      <c r="Q802" s="71"/>
    </row>
    <row r="803" spans="1:17" ht="12" customHeight="1">
      <c r="A803" s="45"/>
      <c r="B803" s="42"/>
      <c r="C803" s="39" t="s">
        <v>77</v>
      </c>
      <c r="D803" s="42"/>
      <c r="E803" s="59">
        <f aca="true" t="shared" si="545" ref="E803:Q803">E$40-D764*(D768-D$51)</f>
        <v>115.50000000000004</v>
      </c>
      <c r="F803" s="59">
        <f t="shared" si="545"/>
        <v>-20.49999999999995</v>
      </c>
      <c r="G803" s="59">
        <f t="shared" si="545"/>
        <v>288.5000000000001</v>
      </c>
      <c r="H803" s="59">
        <f t="shared" si="545"/>
        <v>351.1500000000002</v>
      </c>
      <c r="I803" s="59">
        <f t="shared" si="545"/>
        <v>358.17300000000006</v>
      </c>
      <c r="J803" s="59">
        <f t="shared" si="545"/>
        <v>365.3364600000002</v>
      </c>
      <c r="K803" s="59">
        <f t="shared" si="545"/>
        <v>372.6431892000001</v>
      </c>
      <c r="L803" s="59">
        <f t="shared" si="545"/>
        <v>380.0960529839997</v>
      </c>
      <c r="M803" s="59">
        <f t="shared" si="545"/>
        <v>387.6979740436804</v>
      </c>
      <c r="N803" s="59">
        <f t="shared" si="545"/>
        <v>395.4519335245538</v>
      </c>
      <c r="O803" s="59">
        <f t="shared" si="545"/>
        <v>403.3609721950454</v>
      </c>
      <c r="P803" s="59">
        <f t="shared" si="545"/>
        <v>411.4281916389452</v>
      </c>
      <c r="Q803" s="59">
        <f t="shared" si="545"/>
        <v>419.65675547172395</v>
      </c>
    </row>
    <row r="804" spans="1:41" s="7" customFormat="1" ht="12" customHeight="1">
      <c r="A804" s="45"/>
      <c r="B804" s="39"/>
      <c r="C804" s="39" t="s">
        <v>78</v>
      </c>
      <c r="D804" s="39"/>
      <c r="E804" s="59">
        <f aca="true" t="shared" si="546" ref="E804:Q804">E$41-D779*(D775-D$51)</f>
        <v>265.4999999999999</v>
      </c>
      <c r="F804" s="59">
        <f t="shared" si="546"/>
        <v>129.49999999999994</v>
      </c>
      <c r="G804" s="59">
        <f t="shared" si="546"/>
        <v>438.49999999999994</v>
      </c>
      <c r="H804" s="59">
        <f t="shared" si="546"/>
        <v>471.1500000000001</v>
      </c>
      <c r="I804" s="59">
        <f t="shared" si="546"/>
        <v>480.5729999999998</v>
      </c>
      <c r="J804" s="59">
        <f t="shared" si="546"/>
        <v>490.1844600000002</v>
      </c>
      <c r="K804" s="59">
        <f t="shared" si="546"/>
        <v>499.98814919999995</v>
      </c>
      <c r="L804" s="59">
        <f t="shared" si="546"/>
        <v>509.98791218399947</v>
      </c>
      <c r="M804" s="59">
        <f t="shared" si="546"/>
        <v>520.1876704276802</v>
      </c>
      <c r="N804" s="59">
        <f t="shared" si="546"/>
        <v>530.5914238362337</v>
      </c>
      <c r="O804" s="59">
        <f t="shared" si="546"/>
        <v>541.2032523129587</v>
      </c>
      <c r="P804" s="59">
        <f t="shared" si="546"/>
        <v>552.0273173592168</v>
      </c>
      <c r="Q804" s="59">
        <f t="shared" si="546"/>
        <v>563.0678637064012</v>
      </c>
      <c r="R804" s="56"/>
      <c r="S804" s="56"/>
      <c r="T804" s="56"/>
      <c r="U804" s="56"/>
      <c r="V804" s="56"/>
      <c r="W804" s="56"/>
      <c r="X804" s="56"/>
      <c r="Y804" s="56"/>
      <c r="Z804" s="56"/>
      <c r="AA804" s="56"/>
      <c r="AB804" s="56"/>
      <c r="AC804" s="56"/>
      <c r="AD804" s="56"/>
      <c r="AE804" s="56"/>
      <c r="AF804" s="56"/>
      <c r="AG804" s="56"/>
      <c r="AH804" s="56"/>
      <c r="AI804" s="56"/>
      <c r="AJ804" s="56"/>
      <c r="AK804" s="56"/>
      <c r="AL804" s="56"/>
      <c r="AM804" s="56"/>
      <c r="AN804" s="56"/>
      <c r="AO804" s="56"/>
    </row>
    <row r="805" spans="1:41" s="7" customFormat="1" ht="12" customHeight="1">
      <c r="A805" s="55"/>
      <c r="B805" s="56"/>
      <c r="C805" s="56"/>
      <c r="D805" s="92"/>
      <c r="E805" s="61"/>
      <c r="F805" s="61"/>
      <c r="G805" s="62"/>
      <c r="H805" s="61"/>
      <c r="I805" s="61"/>
      <c r="J805" s="61"/>
      <c r="K805" s="61"/>
      <c r="L805" s="61"/>
      <c r="M805" s="62"/>
      <c r="N805" s="61"/>
      <c r="O805" s="61"/>
      <c r="P805" s="61"/>
      <c r="Q805" s="61"/>
      <c r="R805" s="56"/>
      <c r="S805" s="56"/>
      <c r="T805" s="56"/>
      <c r="U805" s="56"/>
      <c r="V805" s="56"/>
      <c r="W805" s="56"/>
      <c r="X805" s="56"/>
      <c r="Y805" s="56"/>
      <c r="Z805" s="56"/>
      <c r="AA805" s="56"/>
      <c r="AB805" s="56"/>
      <c r="AC805" s="56"/>
      <c r="AD805" s="56"/>
      <c r="AE805" s="56"/>
      <c r="AF805" s="56"/>
      <c r="AG805" s="56"/>
      <c r="AH805" s="56"/>
      <c r="AI805" s="56"/>
      <c r="AJ805" s="56"/>
      <c r="AK805" s="56"/>
      <c r="AL805" s="56"/>
      <c r="AM805" s="56"/>
      <c r="AN805" s="56"/>
      <c r="AO805" s="56"/>
    </row>
    <row r="806" spans="1:41" s="7" customFormat="1" ht="12" customHeight="1">
      <c r="A806" s="16"/>
      <c r="C806" s="7" t="s">
        <v>36</v>
      </c>
      <c r="D806" s="51">
        <f aca="true" t="shared" si="547" ref="D806:Q806">D$51</f>
        <v>0.1</v>
      </c>
      <c r="E806" s="51">
        <f t="shared" si="547"/>
        <v>0.1</v>
      </c>
      <c r="F806" s="51">
        <f t="shared" si="547"/>
        <v>0.1</v>
      </c>
      <c r="G806" s="51">
        <f t="shared" si="547"/>
        <v>0.1</v>
      </c>
      <c r="H806" s="51">
        <f t="shared" si="547"/>
        <v>0.1</v>
      </c>
      <c r="I806" s="51">
        <f t="shared" si="547"/>
        <v>0.1</v>
      </c>
      <c r="J806" s="51">
        <f t="shared" si="547"/>
        <v>0.1</v>
      </c>
      <c r="K806" s="51">
        <f t="shared" si="547"/>
        <v>0.1</v>
      </c>
      <c r="L806" s="51">
        <f t="shared" si="547"/>
        <v>0.1</v>
      </c>
      <c r="M806" s="51">
        <f t="shared" si="547"/>
        <v>0.1</v>
      </c>
      <c r="N806" s="51">
        <f t="shared" si="547"/>
        <v>0.1</v>
      </c>
      <c r="O806" s="51">
        <f t="shared" si="547"/>
        <v>0.1</v>
      </c>
      <c r="P806" s="51">
        <f t="shared" si="547"/>
        <v>0.1</v>
      </c>
      <c r="Q806" s="51">
        <f t="shared" si="547"/>
        <v>0.1</v>
      </c>
      <c r="R806" s="56"/>
      <c r="S806" s="56"/>
      <c r="T806" s="56"/>
      <c r="U806" s="56"/>
      <c r="V806" s="56"/>
      <c r="W806" s="56"/>
      <c r="X806" s="56"/>
      <c r="Y806" s="56"/>
      <c r="Z806" s="56"/>
      <c r="AA806" s="56"/>
      <c r="AB806" s="56"/>
      <c r="AC806" s="56"/>
      <c r="AD806" s="56"/>
      <c r="AE806" s="56"/>
      <c r="AF806" s="56"/>
      <c r="AG806" s="56"/>
      <c r="AH806" s="56"/>
      <c r="AI806" s="56"/>
      <c r="AJ806" s="56"/>
      <c r="AK806" s="56"/>
      <c r="AL806" s="56"/>
      <c r="AM806" s="56"/>
      <c r="AN806" s="56"/>
      <c r="AO806" s="56"/>
    </row>
    <row r="807" spans="1:17" ht="12" customHeight="1" hidden="1">
      <c r="A807" s="16"/>
      <c r="C807" s="21" t="s">
        <v>53</v>
      </c>
      <c r="D807" s="12">
        <v>1</v>
      </c>
      <c r="E807" s="12">
        <f>1/(1+D806)</f>
        <v>0.9090909090909091</v>
      </c>
      <c r="F807" s="46">
        <f aca="true" t="shared" si="548" ref="F807:Q807">E807/(1+E806)</f>
        <v>0.8264462809917354</v>
      </c>
      <c r="G807" s="96">
        <f t="shared" si="548"/>
        <v>0.7513148009015777</v>
      </c>
      <c r="H807" s="46">
        <f t="shared" si="548"/>
        <v>0.6830134553650705</v>
      </c>
      <c r="I807" s="46">
        <f t="shared" si="548"/>
        <v>0.6209213230591549</v>
      </c>
      <c r="J807" s="46">
        <f t="shared" si="548"/>
        <v>0.5644739300537771</v>
      </c>
      <c r="K807" s="46">
        <f t="shared" si="548"/>
        <v>0.5131581182307065</v>
      </c>
      <c r="L807" s="46">
        <f t="shared" si="548"/>
        <v>0.4665073802097331</v>
      </c>
      <c r="M807" s="96">
        <f t="shared" si="548"/>
        <v>0.4240976183724846</v>
      </c>
      <c r="N807" s="46">
        <f t="shared" si="548"/>
        <v>0.3855432894295314</v>
      </c>
      <c r="O807" s="46">
        <f t="shared" si="548"/>
        <v>0.35049389948139215</v>
      </c>
      <c r="P807" s="46">
        <f t="shared" si="548"/>
        <v>0.31863081771035645</v>
      </c>
      <c r="Q807" s="46">
        <f t="shared" si="548"/>
        <v>0.2896643797366877</v>
      </c>
    </row>
    <row r="808" spans="1:17" ht="12" customHeight="1" hidden="1">
      <c r="A808" s="16"/>
      <c r="B808" s="42"/>
      <c r="C808" s="42" t="s">
        <v>122</v>
      </c>
      <c r="D808" s="42"/>
      <c r="E808" s="23">
        <f aca="true" t="shared" si="549" ref="E808:P808">E803</f>
        <v>115.50000000000004</v>
      </c>
      <c r="F808" s="23">
        <f t="shared" si="549"/>
        <v>-20.49999999999995</v>
      </c>
      <c r="G808" s="101">
        <f t="shared" si="549"/>
        <v>288.5000000000001</v>
      </c>
      <c r="H808" s="23">
        <f t="shared" si="549"/>
        <v>351.1500000000002</v>
      </c>
      <c r="I808" s="23">
        <f t="shared" si="549"/>
        <v>358.17300000000006</v>
      </c>
      <c r="J808" s="23">
        <f t="shared" si="549"/>
        <v>365.3364600000002</v>
      </c>
      <c r="K808" s="23">
        <f t="shared" si="549"/>
        <v>372.6431892000001</v>
      </c>
      <c r="L808" s="23">
        <f t="shared" si="549"/>
        <v>380.0960529839997</v>
      </c>
      <c r="M808" s="23">
        <f t="shared" si="549"/>
        <v>387.6979740436804</v>
      </c>
      <c r="N808" s="23">
        <f t="shared" si="549"/>
        <v>395.4519335245538</v>
      </c>
      <c r="O808" s="23">
        <f t="shared" si="549"/>
        <v>403.3609721950454</v>
      </c>
      <c r="P808" s="23">
        <f t="shared" si="549"/>
        <v>411.4281916389452</v>
      </c>
      <c r="Q808" s="1">
        <f>P808*(1+O$5)+P808*(1+O$5)*(1+O$5)/(P806-O$5)</f>
        <v>5770.280387736206</v>
      </c>
    </row>
    <row r="809" spans="1:17" ht="12" customHeight="1" hidden="1">
      <c r="A809" s="16"/>
      <c r="C809" s="21" t="s">
        <v>54</v>
      </c>
      <c r="D809" s="1"/>
      <c r="E809" s="1">
        <f aca="true" t="shared" si="550" ref="E809:Q809">E808*E807</f>
        <v>105.00000000000003</v>
      </c>
      <c r="F809" s="1">
        <f t="shared" si="550"/>
        <v>-16.942148760330536</v>
      </c>
      <c r="G809" s="29">
        <f t="shared" si="550"/>
        <v>216.75432006010524</v>
      </c>
      <c r="H809" s="1">
        <f t="shared" si="550"/>
        <v>239.84017485144466</v>
      </c>
      <c r="I809" s="1">
        <f t="shared" si="550"/>
        <v>222.39725304406673</v>
      </c>
      <c r="J809" s="1">
        <f t="shared" si="550"/>
        <v>206.22290736813466</v>
      </c>
      <c r="K809" s="1">
        <f t="shared" si="550"/>
        <v>191.22487774136115</v>
      </c>
      <c r="L809" s="1">
        <f t="shared" si="550"/>
        <v>177.3176139056256</v>
      </c>
      <c r="M809" s="29">
        <f t="shared" si="550"/>
        <v>164.42178743976223</v>
      </c>
      <c r="N809" s="1">
        <f t="shared" si="550"/>
        <v>152.46383926232485</v>
      </c>
      <c r="O809" s="1">
        <f t="shared" si="550"/>
        <v>141.37556004324685</v>
      </c>
      <c r="P809" s="1">
        <f t="shared" si="550"/>
        <v>131.09370113101033</v>
      </c>
      <c r="Q809" s="1">
        <f t="shared" si="550"/>
        <v>1671.4446894203818</v>
      </c>
    </row>
    <row r="810" spans="1:17" ht="12" customHeight="1">
      <c r="A810" s="16"/>
      <c r="C810" s="47" t="s">
        <v>79</v>
      </c>
      <c r="D810" s="38">
        <f>SUM(E809:$Q809)/D807</f>
        <v>3602.614575507134</v>
      </c>
      <c r="E810" s="38">
        <f>SUM(F809:$Q809)/E807</f>
        <v>3847.3760330578475</v>
      </c>
      <c r="F810" s="38">
        <f>SUM(G809:$Q809)/F807</f>
        <v>4252.613636363632</v>
      </c>
      <c r="G810" s="27">
        <f>SUM(H809:$Q809)/G807</f>
        <v>4389.374999999996</v>
      </c>
      <c r="H810" s="38">
        <f>SUM(I809:$Q809)/H807</f>
        <v>4477.162499999995</v>
      </c>
      <c r="I810" s="38">
        <f>SUM(J809:$Q809)/I807</f>
        <v>4566.705749999995</v>
      </c>
      <c r="J810" s="38">
        <f>SUM(K809:$Q809)/J807</f>
        <v>4658.039864999996</v>
      </c>
      <c r="K810" s="38">
        <f>SUM(L809:$Q809)/K807</f>
        <v>4751.200662299995</v>
      </c>
      <c r="L810" s="38">
        <f>SUM(M809:$Q809)/L807</f>
        <v>4846.2246755459955</v>
      </c>
      <c r="M810" s="27">
        <f>SUM(N809:$Q809)/M807</f>
        <v>4943.149169056915</v>
      </c>
      <c r="N810" s="38">
        <f>SUM(O809:$Q809)/N807</f>
        <v>5042.012152438054</v>
      </c>
      <c r="O810" s="38">
        <f>SUM(P809:$Q809)/O807</f>
        <v>5142.852395486814</v>
      </c>
      <c r="P810" s="38">
        <f>SUM(Q809:$Q809)/P807</f>
        <v>5245.709443396551</v>
      </c>
      <c r="Q810" s="38"/>
    </row>
    <row r="811" spans="1:16" ht="12.75" customHeight="1">
      <c r="A811" s="16"/>
      <c r="D811" s="41"/>
      <c r="E811" s="41"/>
      <c r="F811" s="41"/>
      <c r="G811" s="146"/>
      <c r="H811" s="41"/>
      <c r="I811" s="41"/>
      <c r="J811" s="41"/>
      <c r="K811" s="41"/>
      <c r="L811" s="41"/>
      <c r="M811" s="31"/>
      <c r="N811" s="41"/>
      <c r="O811" s="41"/>
      <c r="P811" s="41"/>
    </row>
    <row r="812" spans="1:41" s="7" customFormat="1" ht="19.5" customHeight="1" hidden="1">
      <c r="A812" s="16"/>
      <c r="C812" s="7" t="s">
        <v>36</v>
      </c>
      <c r="D812" s="51">
        <f aca="true" t="shared" si="551" ref="D812:Q812">D$51</f>
        <v>0.1</v>
      </c>
      <c r="E812" s="51">
        <f t="shared" si="551"/>
        <v>0.1</v>
      </c>
      <c r="F812" s="51">
        <f t="shared" si="551"/>
        <v>0.1</v>
      </c>
      <c r="G812" s="51">
        <f t="shared" si="551"/>
        <v>0.1</v>
      </c>
      <c r="H812" s="51">
        <f t="shared" si="551"/>
        <v>0.1</v>
      </c>
      <c r="I812" s="51">
        <f t="shared" si="551"/>
        <v>0.1</v>
      </c>
      <c r="J812" s="51">
        <f t="shared" si="551"/>
        <v>0.1</v>
      </c>
      <c r="K812" s="51">
        <f t="shared" si="551"/>
        <v>0.1</v>
      </c>
      <c r="L812" s="51">
        <f t="shared" si="551"/>
        <v>0.1</v>
      </c>
      <c r="M812" s="51">
        <f t="shared" si="551"/>
        <v>0.1</v>
      </c>
      <c r="N812" s="51">
        <f t="shared" si="551"/>
        <v>0.1</v>
      </c>
      <c r="O812" s="51">
        <f t="shared" si="551"/>
        <v>0.1</v>
      </c>
      <c r="P812" s="51">
        <f t="shared" si="551"/>
        <v>0.1</v>
      </c>
      <c r="Q812" s="51">
        <f t="shared" si="551"/>
        <v>0.1</v>
      </c>
      <c r="R812" s="56"/>
      <c r="S812" s="56"/>
      <c r="T812" s="56"/>
      <c r="U812" s="56"/>
      <c r="V812" s="56"/>
      <c r="W812" s="56"/>
      <c r="X812" s="56"/>
      <c r="Y812" s="56"/>
      <c r="Z812" s="56"/>
      <c r="AA812" s="56"/>
      <c r="AB812" s="56"/>
      <c r="AC812" s="56"/>
      <c r="AD812" s="56"/>
      <c r="AE812" s="56"/>
      <c r="AF812" s="56"/>
      <c r="AG812" s="56"/>
      <c r="AH812" s="56"/>
      <c r="AI812" s="56"/>
      <c r="AJ812" s="56"/>
      <c r="AK812" s="56"/>
      <c r="AL812" s="56"/>
      <c r="AM812" s="56"/>
      <c r="AN812" s="56"/>
      <c r="AO812" s="56"/>
    </row>
    <row r="813" spans="1:17" ht="19.5" customHeight="1" hidden="1">
      <c r="A813" s="16"/>
      <c r="C813" s="21" t="s">
        <v>58</v>
      </c>
      <c r="D813" s="12">
        <v>1</v>
      </c>
      <c r="E813" s="12">
        <f>1/(1+D812)</f>
        <v>0.9090909090909091</v>
      </c>
      <c r="F813" s="12">
        <f aca="true" t="shared" si="552" ref="F813:Q813">E813/(1+E812)</f>
        <v>0.8264462809917354</v>
      </c>
      <c r="G813" s="98">
        <f t="shared" si="552"/>
        <v>0.7513148009015777</v>
      </c>
      <c r="H813" s="12">
        <f t="shared" si="552"/>
        <v>0.6830134553650705</v>
      </c>
      <c r="I813" s="12">
        <f t="shared" si="552"/>
        <v>0.6209213230591549</v>
      </c>
      <c r="J813" s="12">
        <f t="shared" si="552"/>
        <v>0.5644739300537771</v>
      </c>
      <c r="K813" s="12">
        <f t="shared" si="552"/>
        <v>0.5131581182307065</v>
      </c>
      <c r="L813" s="12">
        <f t="shared" si="552"/>
        <v>0.4665073802097331</v>
      </c>
      <c r="M813" s="98">
        <f t="shared" si="552"/>
        <v>0.4240976183724846</v>
      </c>
      <c r="N813" s="12">
        <f t="shared" si="552"/>
        <v>0.3855432894295314</v>
      </c>
      <c r="O813" s="12">
        <f t="shared" si="552"/>
        <v>0.35049389948139215</v>
      </c>
      <c r="P813" s="12">
        <f t="shared" si="552"/>
        <v>0.31863081771035645</v>
      </c>
      <c r="Q813" s="12">
        <f t="shared" si="552"/>
        <v>0.2896643797366877</v>
      </c>
    </row>
    <row r="814" spans="1:17" ht="19.5" customHeight="1" hidden="1">
      <c r="A814" s="45"/>
      <c r="B814" s="42"/>
      <c r="C814" s="42" t="s">
        <v>31</v>
      </c>
      <c r="D814" s="42"/>
      <c r="E814" s="42">
        <f aca="true" t="shared" si="553" ref="E814:P814">E804</f>
        <v>265.4999999999999</v>
      </c>
      <c r="F814" s="42">
        <f t="shared" si="553"/>
        <v>129.49999999999994</v>
      </c>
      <c r="G814" s="99">
        <f t="shared" si="553"/>
        <v>438.49999999999994</v>
      </c>
      <c r="H814" s="42">
        <f t="shared" si="553"/>
        <v>471.1500000000001</v>
      </c>
      <c r="I814" s="42">
        <f t="shared" si="553"/>
        <v>480.5729999999998</v>
      </c>
      <c r="J814" s="42">
        <f t="shared" si="553"/>
        <v>490.1844600000002</v>
      </c>
      <c r="K814" s="42">
        <f t="shared" si="553"/>
        <v>499.98814919999995</v>
      </c>
      <c r="L814" s="42">
        <f t="shared" si="553"/>
        <v>509.98791218399947</v>
      </c>
      <c r="M814" s="99">
        <f t="shared" si="553"/>
        <v>520.1876704276802</v>
      </c>
      <c r="N814" s="42">
        <f t="shared" si="553"/>
        <v>530.5914238362337</v>
      </c>
      <c r="O814" s="42">
        <f t="shared" si="553"/>
        <v>541.2032523129587</v>
      </c>
      <c r="P814" s="42">
        <f t="shared" si="553"/>
        <v>552.0273173592168</v>
      </c>
      <c r="Q814" s="1">
        <f>P814*(1+O$5)+P814*(1+O$5)*(1+O$5)/(P812-O$5)</f>
        <v>7742.183125963015</v>
      </c>
    </row>
    <row r="815" spans="1:17" ht="19.5" customHeight="1" hidden="1">
      <c r="A815" s="16"/>
      <c r="C815" s="21" t="s">
        <v>38</v>
      </c>
      <c r="D815" s="1"/>
      <c r="E815" s="1">
        <f aca="true" t="shared" si="554" ref="E815:Q815">E814*E813</f>
        <v>241.36363636363626</v>
      </c>
      <c r="F815" s="1">
        <f t="shared" si="554"/>
        <v>107.0247933884297</v>
      </c>
      <c r="G815" s="29">
        <f t="shared" si="554"/>
        <v>329.45154019534175</v>
      </c>
      <c r="H815" s="1">
        <f t="shared" si="554"/>
        <v>321.80178949525305</v>
      </c>
      <c r="I815" s="1">
        <f t="shared" si="554"/>
        <v>298.39802298650716</v>
      </c>
      <c r="J815" s="1">
        <f t="shared" si="554"/>
        <v>276.6963485874886</v>
      </c>
      <c r="K815" s="1">
        <f t="shared" si="554"/>
        <v>256.57297778112564</v>
      </c>
      <c r="L815" s="1">
        <f t="shared" si="554"/>
        <v>237.913124851589</v>
      </c>
      <c r="M815" s="29">
        <f t="shared" si="554"/>
        <v>220.61035213511013</v>
      </c>
      <c r="N815" s="1">
        <f t="shared" si="554"/>
        <v>204.56596288892024</v>
      </c>
      <c r="O815" s="1">
        <f t="shared" si="554"/>
        <v>189.68843831518066</v>
      </c>
      <c r="P815" s="1">
        <f t="shared" si="554"/>
        <v>175.8929155286217</v>
      </c>
      <c r="Q815" s="1">
        <f t="shared" si="554"/>
        <v>2242.6346729899265</v>
      </c>
    </row>
    <row r="816" spans="1:17" ht="19.5" customHeight="1">
      <c r="A816" s="16"/>
      <c r="B816" s="4" t="s">
        <v>80</v>
      </c>
      <c r="C816" s="42" t="s">
        <v>81</v>
      </c>
      <c r="D816" s="18">
        <f>SUM(E815:$Q815)/D813</f>
        <v>5102.61457550713</v>
      </c>
      <c r="E816" s="18">
        <f>SUM(F815:$Q815)/E813</f>
        <v>5347.376033057843</v>
      </c>
      <c r="F816" s="18">
        <f>SUM(G815:$Q815)/F813</f>
        <v>5752.613636363629</v>
      </c>
      <c r="G816" s="91">
        <f>SUM(H815:$Q815)/G813</f>
        <v>5889.374999999992</v>
      </c>
      <c r="H816" s="18">
        <f>SUM(I815:$Q815)/H813</f>
        <v>6007.162499999992</v>
      </c>
      <c r="I816" s="18">
        <f>SUM(J815:$Q815)/I813</f>
        <v>6127.305749999992</v>
      </c>
      <c r="J816" s="18">
        <f>SUM(K815:$Q815)/J813</f>
        <v>6249.851864999992</v>
      </c>
      <c r="K816" s="18">
        <f>SUM(L815:$Q815)/K813</f>
        <v>6374.848902299992</v>
      </c>
      <c r="L816" s="18">
        <f>SUM(M815:$Q815)/L813</f>
        <v>6502.345880345992</v>
      </c>
      <c r="M816" s="91">
        <f>SUM(N815:$Q815)/M813</f>
        <v>6632.392797952911</v>
      </c>
      <c r="N816" s="18">
        <f>SUM(O815:$Q815)/N813</f>
        <v>6765.0406539119695</v>
      </c>
      <c r="O816" s="18">
        <f>SUM(P815:$Q815)/O813</f>
        <v>6900.341466990209</v>
      </c>
      <c r="P816" s="18">
        <f>SUM(Q815:$Q815)/P813</f>
        <v>7038.348296330014</v>
      </c>
      <c r="Q816" s="18"/>
    </row>
    <row r="817" spans="1:17" ht="12.75" customHeight="1">
      <c r="A817" s="16"/>
      <c r="B817" s="4" t="s">
        <v>48</v>
      </c>
      <c r="C817" s="39" t="s">
        <v>82</v>
      </c>
      <c r="D817" s="38">
        <f aca="true" t="shared" si="555" ref="D817:P817">D816-D$62</f>
        <v>3602.614575507132</v>
      </c>
      <c r="E817" s="38">
        <f t="shared" si="555"/>
        <v>3847.3760330578452</v>
      </c>
      <c r="F817" s="38">
        <f t="shared" si="555"/>
        <v>4252.613636363631</v>
      </c>
      <c r="G817" s="38">
        <f t="shared" si="555"/>
        <v>4389.374999999994</v>
      </c>
      <c r="H817" s="38">
        <f t="shared" si="555"/>
        <v>4477.162499999994</v>
      </c>
      <c r="I817" s="38">
        <f t="shared" si="555"/>
        <v>4566.705749999994</v>
      </c>
      <c r="J817" s="38">
        <f t="shared" si="555"/>
        <v>4658.039864999994</v>
      </c>
      <c r="K817" s="38">
        <f t="shared" si="555"/>
        <v>4751.200662299994</v>
      </c>
      <c r="L817" s="38">
        <f t="shared" si="555"/>
        <v>4846.224675545994</v>
      </c>
      <c r="M817" s="38">
        <f t="shared" si="555"/>
        <v>4943.149169056913</v>
      </c>
      <c r="N817" s="38">
        <f t="shared" si="555"/>
        <v>5042.012152438051</v>
      </c>
      <c r="O817" s="38">
        <f t="shared" si="555"/>
        <v>5142.8523954868115</v>
      </c>
      <c r="P817" s="38">
        <f t="shared" si="555"/>
        <v>5245.7094433965485</v>
      </c>
      <c r="Q817" s="20"/>
    </row>
    <row r="818" spans="1:17" ht="12.75" customHeight="1">
      <c r="A818" s="16"/>
      <c r="C818" s="56"/>
      <c r="D818" s="57"/>
      <c r="E818" s="57"/>
      <c r="F818" s="116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88"/>
    </row>
    <row r="819" spans="1:41" s="7" customFormat="1" ht="12" customHeight="1">
      <c r="A819" s="45"/>
      <c r="B819" s="39"/>
      <c r="C819" s="39" t="s">
        <v>87</v>
      </c>
      <c r="D819" s="39"/>
      <c r="E819" s="59">
        <f aca="true" t="shared" si="556" ref="E819:Q819">E$41-D816*(D775-D$49)</f>
        <v>61.39541697971461</v>
      </c>
      <c r="F819" s="59">
        <f t="shared" si="556"/>
        <v>-84.39504132231386</v>
      </c>
      <c r="G819" s="59">
        <f t="shared" si="556"/>
        <v>208.39545454545475</v>
      </c>
      <c r="H819" s="59">
        <f t="shared" si="556"/>
        <v>235.57500000000036</v>
      </c>
      <c r="I819" s="59">
        <f t="shared" si="556"/>
        <v>240.28650000000005</v>
      </c>
      <c r="J819" s="59">
        <f t="shared" si="556"/>
        <v>245.09223000000043</v>
      </c>
      <c r="K819" s="59">
        <f t="shared" si="556"/>
        <v>249.9940746000002</v>
      </c>
      <c r="L819" s="59">
        <f t="shared" si="556"/>
        <v>254.9939560919997</v>
      </c>
      <c r="M819" s="59">
        <f t="shared" si="556"/>
        <v>260.0938352138405</v>
      </c>
      <c r="N819" s="59">
        <f t="shared" si="556"/>
        <v>265.29571191811715</v>
      </c>
      <c r="O819" s="59">
        <f t="shared" si="556"/>
        <v>270.6016261564799</v>
      </c>
      <c r="P819" s="59">
        <f t="shared" si="556"/>
        <v>276.0136586796084</v>
      </c>
      <c r="Q819" s="59">
        <f t="shared" si="556"/>
        <v>281.5339318532006</v>
      </c>
      <c r="R819" s="56"/>
      <c r="S819" s="56"/>
      <c r="T819" s="56"/>
      <c r="U819" s="56"/>
      <c r="V819" s="56"/>
      <c r="W819" s="56"/>
      <c r="X819" s="56"/>
      <c r="Y819" s="56"/>
      <c r="Z819" s="56"/>
      <c r="AA819" s="56"/>
      <c r="AB819" s="56"/>
      <c r="AC819" s="56"/>
      <c r="AD819" s="56"/>
      <c r="AE819" s="56"/>
      <c r="AF819" s="56"/>
      <c r="AG819" s="56"/>
      <c r="AH819" s="56"/>
      <c r="AI819" s="56"/>
      <c r="AJ819" s="56"/>
      <c r="AK819" s="56"/>
      <c r="AL819" s="56"/>
      <c r="AM819" s="56"/>
      <c r="AN819" s="56"/>
      <c r="AO819" s="56"/>
    </row>
    <row r="820" spans="1:17" ht="12" customHeight="1">
      <c r="A820" s="45"/>
      <c r="B820" s="42"/>
      <c r="C820" s="39" t="s">
        <v>86</v>
      </c>
      <c r="D820" s="42"/>
      <c r="E820" s="59">
        <f aca="true" t="shared" si="557" ref="E820:Q820">E$40-D817*(D768-D$49)</f>
        <v>-28.604583020285247</v>
      </c>
      <c r="F820" s="59">
        <f t="shared" si="557"/>
        <v>-174.39504132231377</v>
      </c>
      <c r="G820" s="59">
        <f t="shared" si="557"/>
        <v>118.39545454545484</v>
      </c>
      <c r="H820" s="59">
        <f t="shared" si="557"/>
        <v>175.57500000000044</v>
      </c>
      <c r="I820" s="59">
        <f t="shared" si="557"/>
        <v>179.08650000000029</v>
      </c>
      <c r="J820" s="59">
        <f t="shared" si="557"/>
        <v>182.66823000000042</v>
      </c>
      <c r="K820" s="59">
        <f t="shared" si="557"/>
        <v>186.32159460000028</v>
      </c>
      <c r="L820" s="59">
        <f t="shared" si="557"/>
        <v>190.0480264919999</v>
      </c>
      <c r="M820" s="59">
        <f t="shared" si="557"/>
        <v>193.84898702184063</v>
      </c>
      <c r="N820" s="59">
        <f t="shared" si="557"/>
        <v>197.72596676227727</v>
      </c>
      <c r="O820" s="59">
        <f t="shared" si="557"/>
        <v>201.68048609752333</v>
      </c>
      <c r="P820" s="59">
        <f t="shared" si="557"/>
        <v>205.71409581947267</v>
      </c>
      <c r="Q820" s="59">
        <f t="shared" si="557"/>
        <v>209.82837773586198</v>
      </c>
    </row>
    <row r="821" spans="1:16" ht="14.25" customHeight="1">
      <c r="A821" s="16"/>
      <c r="B821" s="104"/>
      <c r="C821" s="92"/>
      <c r="D821" s="105"/>
      <c r="E821" s="105"/>
      <c r="F821" s="105"/>
      <c r="G821" s="50"/>
      <c r="H821" s="105"/>
      <c r="I821" s="105"/>
      <c r="J821" s="43"/>
      <c r="K821" s="43"/>
      <c r="L821" s="43"/>
      <c r="M821" s="102"/>
      <c r="N821" s="43"/>
      <c r="O821" s="43"/>
      <c r="P821" s="43"/>
    </row>
    <row r="822" spans="1:17" ht="14.25" customHeight="1" hidden="1">
      <c r="A822" s="16"/>
      <c r="B822" s="104"/>
      <c r="C822" s="4" t="s">
        <v>2</v>
      </c>
      <c r="D822" s="105">
        <f aca="true" t="shared" si="558" ref="D822:P822">D$49</f>
        <v>0.06</v>
      </c>
      <c r="E822" s="105">
        <f t="shared" si="558"/>
        <v>0.06</v>
      </c>
      <c r="F822" s="105">
        <f t="shared" si="558"/>
        <v>0.06</v>
      </c>
      <c r="G822" s="105">
        <f t="shared" si="558"/>
        <v>0.06</v>
      </c>
      <c r="H822" s="105">
        <f t="shared" si="558"/>
        <v>0.06</v>
      </c>
      <c r="I822" s="105">
        <f t="shared" si="558"/>
        <v>0.06</v>
      </c>
      <c r="J822" s="105">
        <f t="shared" si="558"/>
        <v>0.06</v>
      </c>
      <c r="K822" s="105">
        <f t="shared" si="558"/>
        <v>0.06</v>
      </c>
      <c r="L822" s="105">
        <f t="shared" si="558"/>
        <v>0.06</v>
      </c>
      <c r="M822" s="105">
        <f t="shared" si="558"/>
        <v>0.06</v>
      </c>
      <c r="N822" s="105">
        <f t="shared" si="558"/>
        <v>0.06</v>
      </c>
      <c r="O822" s="105">
        <f t="shared" si="558"/>
        <v>0.06</v>
      </c>
      <c r="P822" s="105">
        <f t="shared" si="558"/>
        <v>0.06</v>
      </c>
      <c r="Q822" s="49">
        <f>P822</f>
        <v>0.06</v>
      </c>
    </row>
    <row r="823" spans="1:17" ht="14.25" customHeight="1" hidden="1">
      <c r="A823" s="16"/>
      <c r="C823" s="158" t="s">
        <v>91</v>
      </c>
      <c r="D823" s="12">
        <v>1</v>
      </c>
      <c r="E823" s="12">
        <f>1/(1+D822)</f>
        <v>0.9433962264150942</v>
      </c>
      <c r="F823" s="12">
        <f aca="true" t="shared" si="559" ref="F823:Q823">E823/(1+E822)</f>
        <v>0.8899964400142398</v>
      </c>
      <c r="G823" s="98">
        <f t="shared" si="559"/>
        <v>0.8396192830323017</v>
      </c>
      <c r="H823" s="12">
        <f t="shared" si="559"/>
        <v>0.7920936632380204</v>
      </c>
      <c r="I823" s="12">
        <f t="shared" si="559"/>
        <v>0.747258172866057</v>
      </c>
      <c r="J823" s="12">
        <f t="shared" si="559"/>
        <v>0.7049605404396764</v>
      </c>
      <c r="K823" s="12">
        <f t="shared" si="559"/>
        <v>0.6650571136223362</v>
      </c>
      <c r="L823" s="12">
        <f t="shared" si="559"/>
        <v>0.6274123713418266</v>
      </c>
      <c r="M823" s="98">
        <f t="shared" si="559"/>
        <v>0.5918984635300251</v>
      </c>
      <c r="N823" s="12">
        <f t="shared" si="559"/>
        <v>0.558394776915118</v>
      </c>
      <c r="O823" s="12">
        <f t="shared" si="559"/>
        <v>0.5267875253916207</v>
      </c>
      <c r="P823" s="12">
        <f t="shared" si="559"/>
        <v>0.4969693635770006</v>
      </c>
      <c r="Q823" s="12">
        <f t="shared" si="559"/>
        <v>0.4688390222424534</v>
      </c>
    </row>
    <row r="824" spans="1:17" ht="14.25" customHeight="1" hidden="1">
      <c r="A824" s="45"/>
      <c r="B824" s="42"/>
      <c r="C824" s="39" t="s">
        <v>87</v>
      </c>
      <c r="D824" s="42"/>
      <c r="E824" s="23">
        <f>E819</f>
        <v>61.39541697971461</v>
      </c>
      <c r="F824" s="23">
        <f aca="true" t="shared" si="560" ref="F824:P824">F819</f>
        <v>-84.39504132231386</v>
      </c>
      <c r="G824" s="23">
        <f t="shared" si="560"/>
        <v>208.39545454545475</v>
      </c>
      <c r="H824" s="23">
        <f t="shared" si="560"/>
        <v>235.57500000000036</v>
      </c>
      <c r="I824" s="23">
        <f t="shared" si="560"/>
        <v>240.28650000000005</v>
      </c>
      <c r="J824" s="23">
        <f t="shared" si="560"/>
        <v>245.09223000000043</v>
      </c>
      <c r="K824" s="23">
        <f t="shared" si="560"/>
        <v>249.9940746000002</v>
      </c>
      <c r="L824" s="23">
        <f t="shared" si="560"/>
        <v>254.9939560919997</v>
      </c>
      <c r="M824" s="23">
        <f t="shared" si="560"/>
        <v>260.0938352138405</v>
      </c>
      <c r="N824" s="23">
        <f t="shared" si="560"/>
        <v>265.29571191811715</v>
      </c>
      <c r="O824" s="23">
        <f t="shared" si="560"/>
        <v>270.6016261564799</v>
      </c>
      <c r="P824" s="23">
        <f t="shared" si="560"/>
        <v>276.0136586796084</v>
      </c>
      <c r="Q824" s="1">
        <f>P824*(1+O$5)+P824*(1+O$5)*(1+O$5)/(P822-O$5)</f>
        <v>7460.649194109817</v>
      </c>
    </row>
    <row r="825" spans="1:17" ht="14.25" customHeight="1" hidden="1">
      <c r="A825" s="16"/>
      <c r="C825" s="21" t="s">
        <v>38</v>
      </c>
      <c r="D825" s="1"/>
      <c r="E825" s="1">
        <f aca="true" t="shared" si="561" ref="E825:Q825">E824*E823</f>
        <v>57.920204697843964</v>
      </c>
      <c r="F825" s="1">
        <f t="shared" si="561"/>
        <v>-75.111286331714</v>
      </c>
      <c r="G825" s="29">
        <f t="shared" si="561"/>
        <v>174.97284213264535</v>
      </c>
      <c r="H825" s="1">
        <f t="shared" si="561"/>
        <v>186.59746471729696</v>
      </c>
      <c r="I825" s="1">
        <f t="shared" si="561"/>
        <v>179.55605095437983</v>
      </c>
      <c r="J825" s="1">
        <f t="shared" si="561"/>
        <v>172.78035091836577</v>
      </c>
      <c r="K825" s="1">
        <f t="shared" si="561"/>
        <v>166.26033767616312</v>
      </c>
      <c r="L825" s="1">
        <f t="shared" si="561"/>
        <v>159.98636266951513</v>
      </c>
      <c r="M825" s="29">
        <f t="shared" si="561"/>
        <v>153.94914143670374</v>
      </c>
      <c r="N825" s="1">
        <f t="shared" si="561"/>
        <v>148.13973987305442</v>
      </c>
      <c r="O825" s="1">
        <f t="shared" si="561"/>
        <v>142.5495610099205</v>
      </c>
      <c r="P825" s="1">
        <f t="shared" si="561"/>
        <v>137.17033229256447</v>
      </c>
      <c r="Q825" s="1">
        <f t="shared" si="561"/>
        <v>3497.8434734603943</v>
      </c>
    </row>
    <row r="826" spans="1:16" ht="14.25" customHeight="1">
      <c r="A826" s="16"/>
      <c r="B826" s="157" t="s">
        <v>89</v>
      </c>
      <c r="C826" s="156" t="s">
        <v>88</v>
      </c>
      <c r="D826" s="18">
        <f>SUM(E825:$Q825)/D823</f>
        <v>5102.614575507134</v>
      </c>
      <c r="E826" s="18">
        <f>SUM(F825:$Q825)/E823</f>
        <v>5347.376033057847</v>
      </c>
      <c r="F826" s="18">
        <f>SUM(G825:$Q825)/F823</f>
        <v>5752.613636363632</v>
      </c>
      <c r="G826" s="91">
        <f>SUM(H825:$Q825)/G823</f>
        <v>5889.374999999995</v>
      </c>
      <c r="H826" s="18">
        <f>SUM(I825:$Q825)/H823</f>
        <v>6007.162499999995</v>
      </c>
      <c r="I826" s="18">
        <f>SUM(J825:$Q825)/I823</f>
        <v>6127.305749999996</v>
      </c>
      <c r="J826" s="18">
        <f>SUM(K825:$Q825)/J823</f>
        <v>6249.851864999995</v>
      </c>
      <c r="K826" s="18">
        <f>SUM(L825:$Q825)/K823</f>
        <v>6374.848902299994</v>
      </c>
      <c r="L826" s="18">
        <f>SUM(M825:$Q825)/L823</f>
        <v>6502.345880345994</v>
      </c>
      <c r="M826" s="91">
        <f>SUM(N825:$Q825)/M823</f>
        <v>6632.3927979529135</v>
      </c>
      <c r="N826" s="18">
        <f>SUM(O825:$Q825)/N823</f>
        <v>6765.040653911971</v>
      </c>
      <c r="O826" s="18">
        <f>SUM(P825:$Q825)/O823</f>
        <v>6900.341466990211</v>
      </c>
      <c r="P826" s="18">
        <f>SUM(Q825:$Q825)/P823</f>
        <v>7038.348296330016</v>
      </c>
    </row>
    <row r="827" spans="1:16" ht="14.25" customHeight="1">
      <c r="A827" s="16"/>
      <c r="B827" s="4" t="s">
        <v>48</v>
      </c>
      <c r="C827" s="39" t="s">
        <v>90</v>
      </c>
      <c r="D827" s="38">
        <f aca="true" t="shared" si="562" ref="D827:P827">D826-D$62</f>
        <v>3602.6145755071357</v>
      </c>
      <c r="E827" s="38">
        <f t="shared" si="562"/>
        <v>3847.376033057849</v>
      </c>
      <c r="F827" s="38">
        <f t="shared" si="562"/>
        <v>4252.613636363634</v>
      </c>
      <c r="G827" s="38">
        <f t="shared" si="562"/>
        <v>4389.374999999997</v>
      </c>
      <c r="H827" s="38">
        <f t="shared" si="562"/>
        <v>4477.162499999997</v>
      </c>
      <c r="I827" s="38">
        <f t="shared" si="562"/>
        <v>4566.705749999997</v>
      </c>
      <c r="J827" s="38">
        <f t="shared" si="562"/>
        <v>4658.039864999997</v>
      </c>
      <c r="K827" s="38">
        <f t="shared" si="562"/>
        <v>4751.200662299996</v>
      </c>
      <c r="L827" s="38">
        <f t="shared" si="562"/>
        <v>4846.224675545996</v>
      </c>
      <c r="M827" s="38">
        <f t="shared" si="562"/>
        <v>4943.149169056915</v>
      </c>
      <c r="N827" s="38">
        <f t="shared" si="562"/>
        <v>5042.012152438053</v>
      </c>
      <c r="O827" s="38">
        <f t="shared" si="562"/>
        <v>5142.852395486814</v>
      </c>
      <c r="P827" s="38">
        <f t="shared" si="562"/>
        <v>5245.70944339655</v>
      </c>
    </row>
    <row r="828" spans="1:16" ht="14.25" customHeight="1">
      <c r="A828" s="16"/>
      <c r="B828" s="104"/>
      <c r="C828" s="92"/>
      <c r="D828" s="105"/>
      <c r="E828" s="105"/>
      <c r="F828" s="105"/>
      <c r="G828" s="50"/>
      <c r="H828" s="105"/>
      <c r="I828" s="105"/>
      <c r="J828" s="43"/>
      <c r="K828" s="43"/>
      <c r="L828" s="43"/>
      <c r="M828" s="102"/>
      <c r="N828" s="43"/>
      <c r="O828" s="43"/>
      <c r="P828" s="43"/>
    </row>
    <row r="829" spans="1:17" ht="14.25" customHeight="1" hidden="1">
      <c r="A829" s="16"/>
      <c r="B829" s="104"/>
      <c r="C829" s="4" t="s">
        <v>2</v>
      </c>
      <c r="D829" s="105">
        <f aca="true" t="shared" si="563" ref="D829:P829">D$49</f>
        <v>0.06</v>
      </c>
      <c r="E829" s="105">
        <f t="shared" si="563"/>
        <v>0.06</v>
      </c>
      <c r="F829" s="105">
        <f t="shared" si="563"/>
        <v>0.06</v>
      </c>
      <c r="G829" s="105">
        <f t="shared" si="563"/>
        <v>0.06</v>
      </c>
      <c r="H829" s="105">
        <f t="shared" si="563"/>
        <v>0.06</v>
      </c>
      <c r="I829" s="105">
        <f t="shared" si="563"/>
        <v>0.06</v>
      </c>
      <c r="J829" s="105">
        <f t="shared" si="563"/>
        <v>0.06</v>
      </c>
      <c r="K829" s="105">
        <f t="shared" si="563"/>
        <v>0.06</v>
      </c>
      <c r="L829" s="105">
        <f t="shared" si="563"/>
        <v>0.06</v>
      </c>
      <c r="M829" s="105">
        <f t="shared" si="563"/>
        <v>0.06</v>
      </c>
      <c r="N829" s="105">
        <f t="shared" si="563"/>
        <v>0.06</v>
      </c>
      <c r="O829" s="105">
        <f t="shared" si="563"/>
        <v>0.06</v>
      </c>
      <c r="P829" s="105">
        <f t="shared" si="563"/>
        <v>0.06</v>
      </c>
      <c r="Q829" s="49">
        <f>P829</f>
        <v>0.06</v>
      </c>
    </row>
    <row r="830" spans="1:17" ht="14.25" customHeight="1" hidden="1">
      <c r="A830" s="16"/>
      <c r="C830" s="158" t="s">
        <v>91</v>
      </c>
      <c r="D830" s="12">
        <v>1</v>
      </c>
      <c r="E830" s="12">
        <f>1/(1+D829)</f>
        <v>0.9433962264150942</v>
      </c>
      <c r="F830" s="12">
        <f aca="true" t="shared" si="564" ref="F830:Q830">E830/(1+E829)</f>
        <v>0.8899964400142398</v>
      </c>
      <c r="G830" s="98">
        <f t="shared" si="564"/>
        <v>0.8396192830323017</v>
      </c>
      <c r="H830" s="12">
        <f t="shared" si="564"/>
        <v>0.7920936632380204</v>
      </c>
      <c r="I830" s="12">
        <f t="shared" si="564"/>
        <v>0.747258172866057</v>
      </c>
      <c r="J830" s="12">
        <f t="shared" si="564"/>
        <v>0.7049605404396764</v>
      </c>
      <c r="K830" s="12">
        <f t="shared" si="564"/>
        <v>0.6650571136223362</v>
      </c>
      <c r="L830" s="12">
        <f t="shared" si="564"/>
        <v>0.6274123713418266</v>
      </c>
      <c r="M830" s="98">
        <f t="shared" si="564"/>
        <v>0.5918984635300251</v>
      </c>
      <c r="N830" s="12">
        <f t="shared" si="564"/>
        <v>0.558394776915118</v>
      </c>
      <c r="O830" s="12">
        <f t="shared" si="564"/>
        <v>0.5267875253916207</v>
      </c>
      <c r="P830" s="12">
        <f t="shared" si="564"/>
        <v>0.4969693635770006</v>
      </c>
      <c r="Q830" s="12">
        <f t="shared" si="564"/>
        <v>0.4688390222424534</v>
      </c>
    </row>
    <row r="831" spans="1:17" ht="14.25" customHeight="1" hidden="1">
      <c r="A831" s="45"/>
      <c r="B831" s="42"/>
      <c r="C831" s="39" t="s">
        <v>86</v>
      </c>
      <c r="D831" s="42"/>
      <c r="E831" s="23">
        <f>E820</f>
        <v>-28.604583020285247</v>
      </c>
      <c r="F831" s="23">
        <f aca="true" t="shared" si="565" ref="F831:P831">F820</f>
        <v>-174.39504132231377</v>
      </c>
      <c r="G831" s="23">
        <f t="shared" si="565"/>
        <v>118.39545454545484</v>
      </c>
      <c r="H831" s="23">
        <f t="shared" si="565"/>
        <v>175.57500000000044</v>
      </c>
      <c r="I831" s="23">
        <f t="shared" si="565"/>
        <v>179.08650000000029</v>
      </c>
      <c r="J831" s="23">
        <f t="shared" si="565"/>
        <v>182.66823000000042</v>
      </c>
      <c r="K831" s="23">
        <f t="shared" si="565"/>
        <v>186.32159460000028</v>
      </c>
      <c r="L831" s="23">
        <f t="shared" si="565"/>
        <v>190.0480264919999</v>
      </c>
      <c r="M831" s="23">
        <f t="shared" si="565"/>
        <v>193.84898702184063</v>
      </c>
      <c r="N831" s="23">
        <f t="shared" si="565"/>
        <v>197.72596676227727</v>
      </c>
      <c r="O831" s="23">
        <f t="shared" si="565"/>
        <v>201.68048609752333</v>
      </c>
      <c r="P831" s="23">
        <f t="shared" si="565"/>
        <v>205.71409581947267</v>
      </c>
      <c r="Q831" s="1">
        <f>P831*(1+O$5)+P831*(1+O$5)*(1+O$5)/(P829-O$5)</f>
        <v>5560.4520100003465</v>
      </c>
    </row>
    <row r="832" spans="1:17" ht="14.25" customHeight="1" hidden="1">
      <c r="A832" s="16"/>
      <c r="C832" s="158" t="s">
        <v>54</v>
      </c>
      <c r="D832" s="1"/>
      <c r="E832" s="1">
        <f aca="true" t="shared" si="566" ref="E832:Q832">E831*E830</f>
        <v>-26.98545567951438</v>
      </c>
      <c r="F832" s="1">
        <f t="shared" si="566"/>
        <v>-155.21096593299552</v>
      </c>
      <c r="G832" s="29">
        <f t="shared" si="566"/>
        <v>99.40710665973826</v>
      </c>
      <c r="H832" s="1">
        <f t="shared" si="566"/>
        <v>139.0718449230158</v>
      </c>
      <c r="I832" s="1">
        <f t="shared" si="566"/>
        <v>133.82385077497733</v>
      </c>
      <c r="J832" s="1">
        <f t="shared" si="566"/>
        <v>128.7738941419594</v>
      </c>
      <c r="K832" s="1">
        <f t="shared" si="566"/>
        <v>123.91450191018725</v>
      </c>
      <c r="L832" s="1">
        <f t="shared" si="566"/>
        <v>119.23848297017994</v>
      </c>
      <c r="M832" s="29">
        <f t="shared" si="566"/>
        <v>114.73891757507924</v>
      </c>
      <c r="N832" s="1">
        <f t="shared" si="566"/>
        <v>110.40914710054784</v>
      </c>
      <c r="O832" s="1">
        <f t="shared" si="566"/>
        <v>106.24276419109347</v>
      </c>
      <c r="P832" s="1">
        <f t="shared" si="566"/>
        <v>102.23360327822145</v>
      </c>
      <c r="Q832" s="1">
        <f t="shared" si="566"/>
        <v>2606.956883594647</v>
      </c>
    </row>
    <row r="833" spans="1:16" ht="14.25" customHeight="1">
      <c r="A833" s="16"/>
      <c r="B833" s="157"/>
      <c r="C833" s="156" t="s">
        <v>92</v>
      </c>
      <c r="D833" s="52">
        <f>SUM(E832:$Q832)/D830</f>
        <v>3602.614575507137</v>
      </c>
      <c r="E833" s="52">
        <f>SUM(F832:$Q832)/E830</f>
        <v>3847.376033057851</v>
      </c>
      <c r="F833" s="52">
        <f>SUM(G832:$Q832)/F830</f>
        <v>4252.613636363636</v>
      </c>
      <c r="G833" s="159">
        <f>SUM(H832:$Q832)/G830</f>
        <v>4389.374999999999</v>
      </c>
      <c r="H833" s="52">
        <f>SUM(I832:$Q832)/H830</f>
        <v>4477.162499999999</v>
      </c>
      <c r="I833" s="52">
        <f>SUM(J832:$Q832)/I830</f>
        <v>4566.705749999999</v>
      </c>
      <c r="J833" s="52">
        <f>SUM(K832:$Q832)/J830</f>
        <v>4658.039864999999</v>
      </c>
      <c r="K833" s="52">
        <f>SUM(L832:$Q832)/K830</f>
        <v>4751.200662299999</v>
      </c>
      <c r="L833" s="52">
        <f>SUM(M832:$Q832)/L830</f>
        <v>4846.224675545998</v>
      </c>
      <c r="M833" s="159">
        <f>SUM(N832:$Q832)/M830</f>
        <v>4943.149169056917</v>
      </c>
      <c r="N833" s="52">
        <f>SUM(O832:$Q832)/N830</f>
        <v>5042.012152438056</v>
      </c>
      <c r="O833" s="52">
        <f>SUM(P832:$Q832)/O830</f>
        <v>5142.852395486816</v>
      </c>
      <c r="P833" s="52">
        <f>SUM(Q832:$Q832)/P830</f>
        <v>5245.709443396553</v>
      </c>
    </row>
    <row r="834" ht="10.5">
      <c r="D834" s="6">
        <f>(D833+D827+D817+D810+D801+D796+D788+D780+D772+D764)/10</f>
        <v>3602.6145755071375</v>
      </c>
    </row>
    <row r="835" spans="2:17" ht="10.5">
      <c r="B835" s="104" t="s">
        <v>95</v>
      </c>
      <c r="C835" s="104" t="s">
        <v>95</v>
      </c>
      <c r="D835" s="104" t="s">
        <v>95</v>
      </c>
      <c r="E835" s="104" t="s">
        <v>95</v>
      </c>
      <c r="F835" s="104" t="s">
        <v>95</v>
      </c>
      <c r="G835" s="104" t="s">
        <v>95</v>
      </c>
      <c r="H835" s="104" t="s">
        <v>95</v>
      </c>
      <c r="I835" s="104" t="s">
        <v>95</v>
      </c>
      <c r="J835" s="104" t="s">
        <v>95</v>
      </c>
      <c r="K835" s="104" t="s">
        <v>95</v>
      </c>
      <c r="L835" s="104" t="s">
        <v>95</v>
      </c>
      <c r="M835" s="104" t="s">
        <v>95</v>
      </c>
      <c r="N835" s="104" t="s">
        <v>95</v>
      </c>
      <c r="O835" s="104" t="s">
        <v>95</v>
      </c>
      <c r="P835" s="104" t="s">
        <v>95</v>
      </c>
      <c r="Q835" s="104" t="s">
        <v>95</v>
      </c>
    </row>
    <row r="836" ht="10.5">
      <c r="P836" s="165"/>
    </row>
    <row r="837" spans="1:41" s="7" customFormat="1" ht="15.75" customHeight="1">
      <c r="A837" s="55"/>
      <c r="B837" s="56"/>
      <c r="C837" s="56"/>
      <c r="D837" s="92"/>
      <c r="E837" s="61"/>
      <c r="F837" s="155" t="s">
        <v>100</v>
      </c>
      <c r="G837" s="62"/>
      <c r="H837" s="61"/>
      <c r="I837" s="61"/>
      <c r="J837" s="61"/>
      <c r="K837" s="61"/>
      <c r="L837" s="61"/>
      <c r="M837" s="61"/>
      <c r="N837" s="61"/>
      <c r="O837" s="61"/>
      <c r="P837" s="61"/>
      <c r="Q837" s="4"/>
      <c r="R837" s="56"/>
      <c r="S837" s="56"/>
      <c r="T837" s="56"/>
      <c r="U837" s="56"/>
      <c r="V837" s="56"/>
      <c r="W837" s="56"/>
      <c r="X837" s="56"/>
      <c r="Y837" s="56"/>
      <c r="Z837" s="56"/>
      <c r="AA837" s="56"/>
      <c r="AB837" s="56"/>
      <c r="AC837" s="56"/>
      <c r="AD837" s="56"/>
      <c r="AE837" s="56"/>
      <c r="AF837" s="56"/>
      <c r="AG837" s="56"/>
      <c r="AH837" s="56"/>
      <c r="AI837" s="56"/>
      <c r="AJ837" s="56"/>
      <c r="AK837" s="56"/>
      <c r="AL837" s="56"/>
      <c r="AM837" s="56"/>
      <c r="AN837" s="56"/>
      <c r="AO837" s="56"/>
    </row>
    <row r="838" spans="1:41" s="7" customFormat="1" ht="12" customHeight="1">
      <c r="A838" s="55"/>
      <c r="B838" s="56"/>
      <c r="C838" s="56"/>
      <c r="D838" s="92"/>
      <c r="E838" s="61"/>
      <c r="F838" s="61"/>
      <c r="G838" s="62"/>
      <c r="H838" s="61"/>
      <c r="I838" s="61"/>
      <c r="J838" s="61"/>
      <c r="K838" s="61"/>
      <c r="L838" s="61"/>
      <c r="M838" s="61"/>
      <c r="N838" s="61"/>
      <c r="O838" s="61"/>
      <c r="P838" s="61"/>
      <c r="Q838" s="4"/>
      <c r="R838" s="56"/>
      <c r="S838" s="56"/>
      <c r="T838" s="56"/>
      <c r="U838" s="56"/>
      <c r="V838" s="56"/>
      <c r="W838" s="56"/>
      <c r="X838" s="56"/>
      <c r="Y838" s="56"/>
      <c r="Z838" s="56"/>
      <c r="AA838" s="56"/>
      <c r="AB838" s="56"/>
      <c r="AC838" s="56"/>
      <c r="AD838" s="56"/>
      <c r="AE838" s="56"/>
      <c r="AF838" s="56"/>
      <c r="AG838" s="56"/>
      <c r="AH838" s="56"/>
      <c r="AI838" s="56"/>
      <c r="AJ838" s="56"/>
      <c r="AK838" s="56"/>
      <c r="AL838" s="56"/>
      <c r="AM838" s="56"/>
      <c r="AN838" s="56"/>
      <c r="AO838" s="56"/>
    </row>
    <row r="839" spans="1:17" ht="12" customHeight="1" thickBot="1">
      <c r="A839" s="16"/>
      <c r="B839"/>
      <c r="C839"/>
      <c r="D839" s="66">
        <v>0</v>
      </c>
      <c r="E839" s="66">
        <v>1</v>
      </c>
      <c r="F839" s="66">
        <f aca="true" t="shared" si="567" ref="F839:Q839">E839+1</f>
        <v>2</v>
      </c>
      <c r="G839" s="150">
        <f t="shared" si="567"/>
        <v>3</v>
      </c>
      <c r="H839" s="66">
        <f t="shared" si="567"/>
        <v>4</v>
      </c>
      <c r="I839" s="103">
        <f t="shared" si="567"/>
        <v>5</v>
      </c>
      <c r="J839" s="103">
        <f t="shared" si="567"/>
        <v>6</v>
      </c>
      <c r="K839" s="103">
        <f t="shared" si="567"/>
        <v>7</v>
      </c>
      <c r="L839" s="103">
        <f t="shared" si="567"/>
        <v>8</v>
      </c>
      <c r="M839" s="111">
        <f t="shared" si="567"/>
        <v>9</v>
      </c>
      <c r="N839" s="103">
        <f t="shared" si="567"/>
        <v>10</v>
      </c>
      <c r="O839" s="103">
        <f t="shared" si="567"/>
        <v>11</v>
      </c>
      <c r="P839" s="103">
        <f t="shared" si="567"/>
        <v>12</v>
      </c>
      <c r="Q839" s="103">
        <f t="shared" si="567"/>
        <v>13</v>
      </c>
    </row>
    <row r="840" spans="1:17" ht="12" customHeight="1">
      <c r="A840" s="16"/>
      <c r="C840" s="4" t="s">
        <v>35</v>
      </c>
      <c r="D840" s="43">
        <f>$D$1</f>
        <v>1</v>
      </c>
      <c r="E840" s="43">
        <f aca="true" t="shared" si="568" ref="E840:Q840">D840</f>
        <v>1</v>
      </c>
      <c r="F840" s="43">
        <f t="shared" si="568"/>
        <v>1</v>
      </c>
      <c r="G840" s="143">
        <f t="shared" si="568"/>
        <v>1</v>
      </c>
      <c r="H840" s="43">
        <f t="shared" si="568"/>
        <v>1</v>
      </c>
      <c r="I840" s="43">
        <f t="shared" si="568"/>
        <v>1</v>
      </c>
      <c r="J840" s="43">
        <f t="shared" si="568"/>
        <v>1</v>
      </c>
      <c r="K840" s="43">
        <f t="shared" si="568"/>
        <v>1</v>
      </c>
      <c r="L840" s="43">
        <f t="shared" si="568"/>
        <v>1</v>
      </c>
      <c r="M840" s="8">
        <f t="shared" si="568"/>
        <v>1</v>
      </c>
      <c r="N840" s="43">
        <f t="shared" si="568"/>
        <v>1</v>
      </c>
      <c r="O840" s="43">
        <f t="shared" si="568"/>
        <v>1</v>
      </c>
      <c r="P840" s="8">
        <f t="shared" si="568"/>
        <v>1</v>
      </c>
      <c r="Q840" s="161">
        <f t="shared" si="568"/>
        <v>1</v>
      </c>
    </row>
    <row r="841" spans="1:17" ht="12" customHeight="1">
      <c r="A841" s="16"/>
      <c r="C841" s="4" t="s">
        <v>2</v>
      </c>
      <c r="D841" s="11">
        <f>$D$2</f>
        <v>0.06</v>
      </c>
      <c r="E841" s="11">
        <f aca="true" t="shared" si="569" ref="E841:Q841">D841</f>
        <v>0.06</v>
      </c>
      <c r="F841" s="11">
        <f t="shared" si="569"/>
        <v>0.06</v>
      </c>
      <c r="G841" s="54">
        <f t="shared" si="569"/>
        <v>0.06</v>
      </c>
      <c r="H841" s="11">
        <f t="shared" si="569"/>
        <v>0.06</v>
      </c>
      <c r="I841" s="11">
        <f t="shared" si="569"/>
        <v>0.06</v>
      </c>
      <c r="J841" s="11">
        <f t="shared" si="569"/>
        <v>0.06</v>
      </c>
      <c r="K841" s="11">
        <f t="shared" si="569"/>
        <v>0.06</v>
      </c>
      <c r="L841" s="11">
        <f t="shared" si="569"/>
        <v>0.06</v>
      </c>
      <c r="M841" s="54">
        <f t="shared" si="569"/>
        <v>0.06</v>
      </c>
      <c r="N841" s="11">
        <f t="shared" si="569"/>
        <v>0.06</v>
      </c>
      <c r="O841" s="11">
        <f t="shared" si="569"/>
        <v>0.06</v>
      </c>
      <c r="P841" s="11">
        <f t="shared" si="569"/>
        <v>0.06</v>
      </c>
      <c r="Q841" s="11">
        <f t="shared" si="569"/>
        <v>0.06</v>
      </c>
    </row>
    <row r="842" spans="1:17" ht="12" customHeight="1">
      <c r="A842" s="16"/>
      <c r="C842" s="4" t="s">
        <v>115</v>
      </c>
      <c r="D842" s="11">
        <f>$D$3</f>
        <v>0.04</v>
      </c>
      <c r="E842" s="11">
        <f aca="true" t="shared" si="570" ref="E842:Q842">D842</f>
        <v>0.04</v>
      </c>
      <c r="F842" s="11">
        <f t="shared" si="570"/>
        <v>0.04</v>
      </c>
      <c r="G842" s="54">
        <f t="shared" si="570"/>
        <v>0.04</v>
      </c>
      <c r="H842" s="11">
        <f t="shared" si="570"/>
        <v>0.04</v>
      </c>
      <c r="I842" s="11">
        <f t="shared" si="570"/>
        <v>0.04</v>
      </c>
      <c r="J842" s="11">
        <f t="shared" si="570"/>
        <v>0.04</v>
      </c>
      <c r="K842" s="11">
        <f t="shared" si="570"/>
        <v>0.04</v>
      </c>
      <c r="L842" s="11">
        <f t="shared" si="570"/>
        <v>0.04</v>
      </c>
      <c r="M842" s="54">
        <f t="shared" si="570"/>
        <v>0.04</v>
      </c>
      <c r="N842" s="11">
        <f t="shared" si="570"/>
        <v>0.04</v>
      </c>
      <c r="O842" s="11">
        <f t="shared" si="570"/>
        <v>0.04</v>
      </c>
      <c r="P842" s="11">
        <f t="shared" si="570"/>
        <v>0.04</v>
      </c>
      <c r="Q842" s="11">
        <f t="shared" si="570"/>
        <v>0.04</v>
      </c>
    </row>
    <row r="843" spans="1:41" s="7" customFormat="1" ht="12" customHeight="1">
      <c r="A843" s="16"/>
      <c r="C843" s="7" t="s">
        <v>36</v>
      </c>
      <c r="D843" s="51">
        <f aca="true" t="shared" si="571" ref="D843:Q843">D841+D840*D842</f>
        <v>0.1</v>
      </c>
      <c r="E843" s="51">
        <f t="shared" si="571"/>
        <v>0.1</v>
      </c>
      <c r="F843" s="51">
        <f t="shared" si="571"/>
        <v>0.1</v>
      </c>
      <c r="G843" s="50">
        <f t="shared" si="571"/>
        <v>0.1</v>
      </c>
      <c r="H843" s="51">
        <f t="shared" si="571"/>
        <v>0.1</v>
      </c>
      <c r="I843" s="51">
        <f t="shared" si="571"/>
        <v>0.1</v>
      </c>
      <c r="J843" s="51">
        <f t="shared" si="571"/>
        <v>0.1</v>
      </c>
      <c r="K843" s="51">
        <f t="shared" si="571"/>
        <v>0.1</v>
      </c>
      <c r="L843" s="51">
        <f t="shared" si="571"/>
        <v>0.1</v>
      </c>
      <c r="M843" s="50">
        <f t="shared" si="571"/>
        <v>0.1</v>
      </c>
      <c r="N843" s="51">
        <f t="shared" si="571"/>
        <v>0.1</v>
      </c>
      <c r="O843" s="51">
        <f t="shared" si="571"/>
        <v>0.1</v>
      </c>
      <c r="P843" s="51">
        <f t="shared" si="571"/>
        <v>0.1</v>
      </c>
      <c r="Q843" s="51">
        <f t="shared" si="571"/>
        <v>0.1</v>
      </c>
      <c r="R843" s="56"/>
      <c r="S843" s="56"/>
      <c r="T843" s="56"/>
      <c r="U843" s="56"/>
      <c r="V843" s="69"/>
      <c r="W843" s="69"/>
      <c r="X843" s="56"/>
      <c r="Y843" s="56"/>
      <c r="Z843" s="56"/>
      <c r="AA843" s="56"/>
      <c r="AB843" s="56"/>
      <c r="AC843" s="56"/>
      <c r="AD843" s="56"/>
      <c r="AE843" s="56"/>
      <c r="AF843" s="56"/>
      <c r="AG843" s="56"/>
      <c r="AH843" s="56"/>
      <c r="AI843" s="56"/>
      <c r="AJ843" s="56"/>
      <c r="AK843" s="56"/>
      <c r="AL843" s="56"/>
      <c r="AM843" s="56"/>
      <c r="AN843" s="56"/>
      <c r="AO843" s="56"/>
    </row>
    <row r="844" spans="1:41" s="7" customFormat="1" ht="12" customHeight="1" hidden="1">
      <c r="A844" s="16"/>
      <c r="C844" s="21" t="s">
        <v>37</v>
      </c>
      <c r="D844" s="12">
        <v>1</v>
      </c>
      <c r="E844" s="85">
        <f aca="true" t="shared" si="572" ref="E844:Q844">D844/(1+D843)</f>
        <v>0.9090909090909091</v>
      </c>
      <c r="F844" s="85">
        <f t="shared" si="572"/>
        <v>0.8264462809917354</v>
      </c>
      <c r="G844" s="94">
        <f t="shared" si="572"/>
        <v>0.7513148009015777</v>
      </c>
      <c r="H844" s="85">
        <f t="shared" si="572"/>
        <v>0.6830134553650705</v>
      </c>
      <c r="I844" s="85">
        <f t="shared" si="572"/>
        <v>0.6209213230591549</v>
      </c>
      <c r="J844" s="85">
        <f t="shared" si="572"/>
        <v>0.5644739300537771</v>
      </c>
      <c r="K844" s="85">
        <f t="shared" si="572"/>
        <v>0.5131581182307065</v>
      </c>
      <c r="L844" s="85">
        <f t="shared" si="572"/>
        <v>0.4665073802097331</v>
      </c>
      <c r="M844" s="94">
        <f t="shared" si="572"/>
        <v>0.4240976183724846</v>
      </c>
      <c r="N844" s="85">
        <f t="shared" si="572"/>
        <v>0.3855432894295314</v>
      </c>
      <c r="O844" s="85">
        <f t="shared" si="572"/>
        <v>0.35049389948139215</v>
      </c>
      <c r="P844" s="85">
        <f t="shared" si="572"/>
        <v>0.31863081771035645</v>
      </c>
      <c r="Q844" s="85">
        <f t="shared" si="572"/>
        <v>0.2896643797366877</v>
      </c>
      <c r="R844" s="56"/>
      <c r="S844" s="56"/>
      <c r="T844" s="56"/>
      <c r="U844" s="56"/>
      <c r="V844" s="69"/>
      <c r="W844" s="69"/>
      <c r="X844" s="56"/>
      <c r="Y844" s="56"/>
      <c r="Z844" s="56"/>
      <c r="AA844" s="56"/>
      <c r="AB844" s="56"/>
      <c r="AC844" s="56"/>
      <c r="AD844" s="56"/>
      <c r="AE844" s="56"/>
      <c r="AF844" s="56"/>
      <c r="AG844" s="56"/>
      <c r="AH844" s="56"/>
      <c r="AI844" s="56"/>
      <c r="AJ844" s="56"/>
      <c r="AK844" s="56"/>
      <c r="AL844" s="56"/>
      <c r="AM844" s="56"/>
      <c r="AN844" s="56"/>
      <c r="AO844" s="56"/>
    </row>
    <row r="845" spans="3:17" ht="12" customHeight="1" hidden="1">
      <c r="C845" s="4" t="s">
        <v>31</v>
      </c>
      <c r="E845" s="5">
        <f>E$41</f>
        <v>243</v>
      </c>
      <c r="F845" s="5">
        <f aca="true" t="shared" si="573" ref="F845:P845">F$41</f>
        <v>107</v>
      </c>
      <c r="G845" s="5">
        <f t="shared" si="573"/>
        <v>416</v>
      </c>
      <c r="H845" s="5">
        <f t="shared" si="573"/>
        <v>448.6500000000001</v>
      </c>
      <c r="I845" s="5">
        <f t="shared" si="573"/>
        <v>457.6229999999999</v>
      </c>
      <c r="J845" s="5">
        <f t="shared" si="573"/>
        <v>466.7754600000002</v>
      </c>
      <c r="K845" s="5">
        <f t="shared" si="573"/>
        <v>476.1109691999999</v>
      </c>
      <c r="L845" s="5">
        <f t="shared" si="573"/>
        <v>485.63318858399964</v>
      </c>
      <c r="M845" s="5">
        <f t="shared" si="573"/>
        <v>495.3458523556802</v>
      </c>
      <c r="N845" s="5">
        <f t="shared" si="573"/>
        <v>505.2527694027938</v>
      </c>
      <c r="O845" s="5">
        <f t="shared" si="573"/>
        <v>515.35782479085</v>
      </c>
      <c r="P845" s="5">
        <f t="shared" si="573"/>
        <v>525.6649812866659</v>
      </c>
      <c r="Q845" s="162">
        <f>P845*(1+O$5)+P845*(1+O$5)*(1+O$5)/(P843-O$5)</f>
        <v>7372.451362545489</v>
      </c>
    </row>
    <row r="846" spans="3:17" ht="12" customHeight="1" hidden="1">
      <c r="C846" s="21" t="s">
        <v>38</v>
      </c>
      <c r="E846" s="5">
        <f>E844*E845</f>
        <v>220.9090909090909</v>
      </c>
      <c r="F846" s="5">
        <f aca="true" t="shared" si="574" ref="F846:Q846">F844*F845</f>
        <v>88.4297520661157</v>
      </c>
      <c r="G846" s="93">
        <f t="shared" si="574"/>
        <v>312.5469571750563</v>
      </c>
      <c r="H846" s="5">
        <f t="shared" si="574"/>
        <v>306.433986749539</v>
      </c>
      <c r="I846" s="5">
        <f t="shared" si="574"/>
        <v>284.1478786222996</v>
      </c>
      <c r="J846" s="5">
        <f t="shared" si="574"/>
        <v>263.4825783588597</v>
      </c>
      <c r="K846" s="5">
        <f t="shared" si="574"/>
        <v>244.32020902366978</v>
      </c>
      <c r="L846" s="5">
        <f t="shared" si="574"/>
        <v>226.55146654922092</v>
      </c>
      <c r="M846" s="93">
        <f t="shared" si="574"/>
        <v>210.07499625473238</v>
      </c>
      <c r="N846" s="5">
        <f t="shared" si="574"/>
        <v>194.79681470893362</v>
      </c>
      <c r="O846" s="5">
        <f t="shared" si="574"/>
        <v>180.6297736391931</v>
      </c>
      <c r="P846" s="5">
        <f t="shared" si="574"/>
        <v>167.49306282906957</v>
      </c>
      <c r="Q846" s="5">
        <f t="shared" si="574"/>
        <v>2135.536551070637</v>
      </c>
    </row>
    <row r="847" spans="1:41" s="77" customFormat="1" ht="12" customHeight="1" thickBot="1">
      <c r="A847" s="64"/>
      <c r="C847" s="78" t="s">
        <v>39</v>
      </c>
      <c r="D847" s="79">
        <f>SUM(E846:$Q846)/D844</f>
        <v>4835.353117956418</v>
      </c>
      <c r="E847" s="79">
        <f>SUM(F846:$Q846)/E844</f>
        <v>5075.888429752059</v>
      </c>
      <c r="F847" s="79">
        <f>SUM(G846:$Q846)/F844</f>
        <v>5476.477272727266</v>
      </c>
      <c r="G847" s="95">
        <f>SUM(H846:$Q846)/G844</f>
        <v>5608.124999999993</v>
      </c>
      <c r="H847" s="79">
        <f>SUM(I846:$Q846)/H844</f>
        <v>5720.287499999992</v>
      </c>
      <c r="I847" s="79">
        <f>SUM(J846:$Q846)/I844</f>
        <v>5834.693249999993</v>
      </c>
      <c r="J847" s="79">
        <f>SUM(K846:$Q846)/J844</f>
        <v>5951.387114999992</v>
      </c>
      <c r="K847" s="79">
        <f>SUM(L846:$Q846)/K844</f>
        <v>6070.414857299992</v>
      </c>
      <c r="L847" s="79">
        <f>SUM(M846:$Q846)/L844</f>
        <v>6191.823154445992</v>
      </c>
      <c r="M847" s="95">
        <f>SUM(N846:$Q846)/M844</f>
        <v>6315.659617534911</v>
      </c>
      <c r="N847" s="79">
        <f>SUM(O846:$Q846)/N844</f>
        <v>6441.972809885611</v>
      </c>
      <c r="O847" s="79">
        <f>SUM(P846:$Q846)/O844</f>
        <v>6570.812266083322</v>
      </c>
      <c r="P847" s="79">
        <f>SUM(Q846:$Q846)/P844</f>
        <v>6702.22851140499</v>
      </c>
      <c r="Q847" s="80"/>
      <c r="R847" s="56"/>
      <c r="S847" s="56"/>
      <c r="T847" s="56"/>
      <c r="U847" s="56"/>
      <c r="V847" s="69"/>
      <c r="W847" s="69"/>
      <c r="X847" s="69"/>
      <c r="Y847" s="56"/>
      <c r="Z847" s="56"/>
      <c r="AA847" s="56"/>
      <c r="AB847" s="56"/>
      <c r="AC847" s="56"/>
      <c r="AD847" s="56"/>
      <c r="AE847" s="56"/>
      <c r="AF847" s="56"/>
      <c r="AG847" s="56"/>
      <c r="AH847" s="56"/>
      <c r="AI847" s="56"/>
      <c r="AJ847" s="56"/>
      <c r="AK847" s="56"/>
      <c r="AL847" s="56"/>
      <c r="AM847" s="56"/>
      <c r="AN847" s="56"/>
      <c r="AO847" s="56"/>
    </row>
    <row r="848" spans="1:17" ht="10.5" hidden="1">
      <c r="A848" s="16"/>
      <c r="C848" s="6" t="s">
        <v>40</v>
      </c>
      <c r="D848" s="6"/>
      <c r="E848" s="44" t="e">
        <f>#REF!/#REF!-1</f>
        <v>#REF!</v>
      </c>
      <c r="F848" s="44" t="e">
        <f>#REF!/#REF!-1</f>
        <v>#REF!</v>
      </c>
      <c r="G848" s="30" t="e">
        <f>#REF!/#REF!-1</f>
        <v>#REF!</v>
      </c>
      <c r="H848" s="44" t="e">
        <f>#REF!/#REF!-1</f>
        <v>#REF!</v>
      </c>
      <c r="I848" s="44" t="e">
        <f>#REF!/#REF!-1</f>
        <v>#REF!</v>
      </c>
      <c r="J848" s="44" t="e">
        <f>#REF!/#REF!-1</f>
        <v>#REF!</v>
      </c>
      <c r="K848" s="44" t="e">
        <f>#REF!/#REF!-1</f>
        <v>#REF!</v>
      </c>
      <c r="L848" s="44" t="e">
        <f>#REF!/#REF!-1</f>
        <v>#REF!</v>
      </c>
      <c r="M848" s="30" t="e">
        <f>#REF!/#REF!-1</f>
        <v>#REF!</v>
      </c>
      <c r="N848" s="44" t="e">
        <f>#REF!/#REF!-1</f>
        <v>#REF!</v>
      </c>
      <c r="O848" s="44" t="e">
        <f>#REF!/#REF!-1</f>
        <v>#REF!</v>
      </c>
      <c r="P848" s="44" t="e">
        <f>#REF!/#REF!-1</f>
        <v>#REF!</v>
      </c>
      <c r="Q848" s="44" t="e">
        <f>Q847/#REF!-1</f>
        <v>#REF!</v>
      </c>
    </row>
    <row r="849" spans="1:17" ht="6.75" customHeight="1">
      <c r="A849" s="16"/>
      <c r="D849" s="1"/>
      <c r="E849" s="1"/>
      <c r="F849" s="1"/>
      <c r="G849" s="29"/>
      <c r="H849" s="1"/>
      <c r="I849" s="1"/>
      <c r="J849" s="3"/>
      <c r="K849" s="3"/>
      <c r="L849" s="3"/>
      <c r="M849" s="35"/>
      <c r="N849" s="3"/>
      <c r="O849" s="3"/>
      <c r="P849" s="3"/>
      <c r="Q849" s="3"/>
    </row>
    <row r="850" spans="1:17" ht="12.75" customHeight="1">
      <c r="A850" s="16"/>
      <c r="C850" s="4" t="s">
        <v>41</v>
      </c>
      <c r="D850" s="1">
        <f aca="true" t="shared" si="575" ref="D850:Q850">D$13</f>
        <v>1500</v>
      </c>
      <c r="E850" s="1">
        <f t="shared" si="575"/>
        <v>1500</v>
      </c>
      <c r="F850" s="1">
        <f t="shared" si="575"/>
        <v>1500</v>
      </c>
      <c r="G850" s="1">
        <f t="shared" si="575"/>
        <v>1500</v>
      </c>
      <c r="H850" s="1">
        <f t="shared" si="575"/>
        <v>1530</v>
      </c>
      <c r="I850" s="1">
        <f t="shared" si="575"/>
        <v>1560.6000000000001</v>
      </c>
      <c r="J850" s="1">
        <f t="shared" si="575"/>
        <v>1591.8120000000001</v>
      </c>
      <c r="K850" s="1">
        <f t="shared" si="575"/>
        <v>1623.6482400000002</v>
      </c>
      <c r="L850" s="1">
        <f t="shared" si="575"/>
        <v>1656.1212048000002</v>
      </c>
      <c r="M850" s="1">
        <f t="shared" si="575"/>
        <v>1689.2436288960002</v>
      </c>
      <c r="N850" s="1">
        <f t="shared" si="575"/>
        <v>1723.0285014739202</v>
      </c>
      <c r="O850" s="1">
        <f t="shared" si="575"/>
        <v>1757.4890715033987</v>
      </c>
      <c r="P850" s="1">
        <f t="shared" si="575"/>
        <v>1792.6388529334668</v>
      </c>
      <c r="Q850" s="1">
        <f t="shared" si="575"/>
        <v>1828.491629992136</v>
      </c>
    </row>
    <row r="851" spans="1:17" s="69" customFormat="1" ht="12.75" customHeight="1" hidden="1">
      <c r="A851" s="55"/>
      <c r="C851" s="21" t="s">
        <v>42</v>
      </c>
      <c r="D851" s="12">
        <v>1</v>
      </c>
      <c r="E851" s="85">
        <f aca="true" t="shared" si="576" ref="E851:Q851">D851/(1+D$64)</f>
        <v>0.9259259259259258</v>
      </c>
      <c r="F851" s="85">
        <f t="shared" si="576"/>
        <v>0.8573388203017831</v>
      </c>
      <c r="G851" s="85">
        <f t="shared" si="576"/>
        <v>0.7938322410201695</v>
      </c>
      <c r="H851" s="85">
        <f t="shared" si="576"/>
        <v>0.7350298527964532</v>
      </c>
      <c r="I851" s="85">
        <f t="shared" si="576"/>
        <v>0.6805831970337529</v>
      </c>
      <c r="J851" s="85">
        <f t="shared" si="576"/>
        <v>0.6301696268831045</v>
      </c>
      <c r="K851" s="85">
        <f t="shared" si="576"/>
        <v>0.5834903952621338</v>
      </c>
      <c r="L851" s="85">
        <f t="shared" si="576"/>
        <v>0.5402688845019756</v>
      </c>
      <c r="M851" s="85">
        <f t="shared" si="576"/>
        <v>0.5002489671314588</v>
      </c>
      <c r="N851" s="85">
        <f t="shared" si="576"/>
        <v>0.4631934880846841</v>
      </c>
      <c r="O851" s="85">
        <f t="shared" si="576"/>
        <v>0.4288828593376704</v>
      </c>
      <c r="P851" s="85">
        <f t="shared" si="576"/>
        <v>0.3971137586459911</v>
      </c>
      <c r="Q851" s="85">
        <f t="shared" si="576"/>
        <v>0.36769792467221396</v>
      </c>
    </row>
    <row r="852" spans="1:17" s="69" customFormat="1" ht="12.75" customHeight="1" hidden="1">
      <c r="A852" s="55"/>
      <c r="C852" s="4" t="s">
        <v>32</v>
      </c>
      <c r="D852" s="86"/>
      <c r="E852" s="102">
        <f>E$42</f>
        <v>120</v>
      </c>
      <c r="F852" s="102">
        <f aca="true" t="shared" si="577" ref="F852:P852">F$42</f>
        <v>120</v>
      </c>
      <c r="G852" s="102">
        <f t="shared" si="577"/>
        <v>120</v>
      </c>
      <c r="H852" s="102">
        <f t="shared" si="577"/>
        <v>90</v>
      </c>
      <c r="I852" s="102">
        <f t="shared" si="577"/>
        <v>91.79999999999987</v>
      </c>
      <c r="J852" s="102">
        <f t="shared" si="577"/>
        <v>93.63600000000002</v>
      </c>
      <c r="K852" s="102">
        <f t="shared" si="577"/>
        <v>95.50871999999993</v>
      </c>
      <c r="L852" s="102">
        <f t="shared" si="577"/>
        <v>97.41889440000003</v>
      </c>
      <c r="M852" s="102">
        <f t="shared" si="577"/>
        <v>99.36727228799998</v>
      </c>
      <c r="N852" s="102">
        <f t="shared" si="577"/>
        <v>101.35461773376008</v>
      </c>
      <c r="O852" s="102">
        <f t="shared" si="577"/>
        <v>103.38171008843511</v>
      </c>
      <c r="P852" s="102">
        <f t="shared" si="577"/>
        <v>105.44934429020384</v>
      </c>
      <c r="Q852" s="162">
        <f>P852*(1+O$5)+P852*(1+O$5)*(1+O$5)/(P856-O$5)</f>
        <v>1936.0499611681423</v>
      </c>
    </row>
    <row r="853" spans="1:17" s="69" customFormat="1" ht="12.75" customHeight="1" hidden="1">
      <c r="A853" s="55"/>
      <c r="C853" s="21" t="s">
        <v>43</v>
      </c>
      <c r="D853" s="86"/>
      <c r="E853" s="87">
        <f aca="true" t="shared" si="578" ref="E853:Q853">E852*E851</f>
        <v>111.1111111111111</v>
      </c>
      <c r="F853" s="87">
        <f t="shared" si="578"/>
        <v>102.88065843621398</v>
      </c>
      <c r="G853" s="94">
        <f t="shared" si="578"/>
        <v>95.25986892242034</v>
      </c>
      <c r="H853" s="87">
        <f t="shared" si="578"/>
        <v>66.15268675168079</v>
      </c>
      <c r="I853" s="87">
        <f t="shared" si="578"/>
        <v>62.47753748769843</v>
      </c>
      <c r="J853" s="87">
        <f t="shared" si="578"/>
        <v>59.00656318282639</v>
      </c>
      <c r="K853" s="87">
        <f t="shared" si="578"/>
        <v>55.728420783780415</v>
      </c>
      <c r="L853" s="87">
        <f t="shared" si="578"/>
        <v>52.63239740690378</v>
      </c>
      <c r="M853" s="94">
        <f t="shared" si="578"/>
        <v>49.70837532874242</v>
      </c>
      <c r="N853" s="87">
        <f t="shared" si="578"/>
        <v>46.94679892159011</v>
      </c>
      <c r="O853" s="87">
        <f t="shared" si="578"/>
        <v>44.33864342594614</v>
      </c>
      <c r="P853" s="87">
        <f t="shared" si="578"/>
        <v>41.87538545783802</v>
      </c>
      <c r="Q853" s="87">
        <f t="shared" si="578"/>
        <v>711.8815527832463</v>
      </c>
    </row>
    <row r="854" spans="1:17" ht="12.75" customHeight="1" thickBot="1">
      <c r="A854" s="64"/>
      <c r="B854" s="65"/>
      <c r="C854" s="119" t="s">
        <v>44</v>
      </c>
      <c r="D854" s="79">
        <f>SUM(E853:$Q853)/D851</f>
        <v>1499.9999999999982</v>
      </c>
      <c r="E854" s="79">
        <f>SUM(F853:$Q853)/E851</f>
        <v>1499.9999999999982</v>
      </c>
      <c r="F854" s="79">
        <f>SUM(G853:$Q853)/F851</f>
        <v>1499.9999999999982</v>
      </c>
      <c r="G854" s="95">
        <f>SUM(H853:$Q853)/G851</f>
        <v>1499.9999999999982</v>
      </c>
      <c r="H854" s="79">
        <f>SUM(I853:$Q853)/H851</f>
        <v>1529.9999999999984</v>
      </c>
      <c r="I854" s="79">
        <f>SUM(J853:$Q853)/I851</f>
        <v>1560.5999999999983</v>
      </c>
      <c r="J854" s="79">
        <f>SUM(K853:$Q853)/J851</f>
        <v>1591.811999999998</v>
      </c>
      <c r="K854" s="79">
        <f>SUM(L853:$Q853)/K851</f>
        <v>1623.6482399999982</v>
      </c>
      <c r="L854" s="79">
        <f>SUM(M853:$Q853)/L851</f>
        <v>1656.1212047999982</v>
      </c>
      <c r="M854" s="95">
        <f>SUM(N853:$Q853)/M851</f>
        <v>1689.2436288959984</v>
      </c>
      <c r="N854" s="79">
        <f>SUM(O853:$Q853)/N851</f>
        <v>1723.0285014739184</v>
      </c>
      <c r="O854" s="79">
        <f>SUM(P853:$Q853)/O851</f>
        <v>1757.4890715033969</v>
      </c>
      <c r="P854" s="79">
        <f>SUM(Q853:$Q853)/P851</f>
        <v>1792.638852933465</v>
      </c>
      <c r="Q854" s="67"/>
    </row>
    <row r="855" spans="1:17" ht="12" customHeight="1">
      <c r="A855" s="16"/>
      <c r="C855" s="7" t="s">
        <v>4</v>
      </c>
      <c r="D855" s="51">
        <f>$D$4</f>
        <v>0.08</v>
      </c>
      <c r="E855" s="139">
        <f aca="true" t="shared" si="579" ref="E855:Q855">D855</f>
        <v>0.08</v>
      </c>
      <c r="F855" s="139">
        <f t="shared" si="579"/>
        <v>0.08</v>
      </c>
      <c r="G855" s="140">
        <f t="shared" si="579"/>
        <v>0.08</v>
      </c>
      <c r="H855" s="139">
        <f t="shared" si="579"/>
        <v>0.08</v>
      </c>
      <c r="I855" s="139">
        <f t="shared" si="579"/>
        <v>0.08</v>
      </c>
      <c r="J855" s="139">
        <f t="shared" si="579"/>
        <v>0.08</v>
      </c>
      <c r="K855" s="139">
        <f t="shared" si="579"/>
        <v>0.08</v>
      </c>
      <c r="L855" s="139">
        <f t="shared" si="579"/>
        <v>0.08</v>
      </c>
      <c r="M855" s="140">
        <f t="shared" si="579"/>
        <v>0.08</v>
      </c>
      <c r="N855" s="139">
        <f t="shared" si="579"/>
        <v>0.08</v>
      </c>
      <c r="O855" s="139">
        <f t="shared" si="579"/>
        <v>0.08</v>
      </c>
      <c r="P855" s="139">
        <f t="shared" si="579"/>
        <v>0.08</v>
      </c>
      <c r="Q855" s="139">
        <f t="shared" si="579"/>
        <v>0.08</v>
      </c>
    </row>
    <row r="856" spans="1:41" s="107" customFormat="1" ht="12" customHeight="1">
      <c r="A856" s="16"/>
      <c r="C856" s="107" t="s">
        <v>5</v>
      </c>
      <c r="D856" s="51">
        <f>$D$5</f>
        <v>0.08</v>
      </c>
      <c r="E856" s="51">
        <f aca="true" t="shared" si="580" ref="E856:Q856">D856</f>
        <v>0.08</v>
      </c>
      <c r="F856" s="51">
        <f t="shared" si="580"/>
        <v>0.08</v>
      </c>
      <c r="G856" s="50">
        <f t="shared" si="580"/>
        <v>0.08</v>
      </c>
      <c r="H856" s="51">
        <f t="shared" si="580"/>
        <v>0.08</v>
      </c>
      <c r="I856" s="51">
        <f t="shared" si="580"/>
        <v>0.08</v>
      </c>
      <c r="J856" s="51">
        <f t="shared" si="580"/>
        <v>0.08</v>
      </c>
      <c r="K856" s="51">
        <f t="shared" si="580"/>
        <v>0.08</v>
      </c>
      <c r="L856" s="51">
        <f t="shared" si="580"/>
        <v>0.08</v>
      </c>
      <c r="M856" s="50">
        <f t="shared" si="580"/>
        <v>0.08</v>
      </c>
      <c r="N856" s="51">
        <f t="shared" si="580"/>
        <v>0.08</v>
      </c>
      <c r="O856" s="51">
        <f t="shared" si="580"/>
        <v>0.08</v>
      </c>
      <c r="P856" s="51">
        <f t="shared" si="580"/>
        <v>0.08</v>
      </c>
      <c r="Q856" s="51">
        <f t="shared" si="580"/>
        <v>0.08</v>
      </c>
      <c r="R856" s="106"/>
      <c r="S856" s="106"/>
      <c r="T856" s="106"/>
      <c r="U856" s="106"/>
      <c r="V856" s="106"/>
      <c r="W856" s="106"/>
      <c r="X856" s="106"/>
      <c r="Y856" s="106"/>
      <c r="Z856" s="106"/>
      <c r="AA856" s="106"/>
      <c r="AB856" s="106"/>
      <c r="AC856" s="106"/>
      <c r="AD856" s="106"/>
      <c r="AE856" s="106"/>
      <c r="AF856" s="106"/>
      <c r="AG856" s="106"/>
      <c r="AH856" s="106"/>
      <c r="AI856" s="106"/>
      <c r="AJ856" s="106"/>
      <c r="AK856" s="106"/>
      <c r="AL856" s="106"/>
      <c r="AM856" s="106"/>
      <c r="AN856" s="106"/>
      <c r="AO856" s="106"/>
    </row>
    <row r="857" spans="1:41" s="42" customFormat="1" ht="12" customHeight="1">
      <c r="A857" s="45"/>
      <c r="C857" s="42" t="s">
        <v>45</v>
      </c>
      <c r="D857" s="81">
        <f aca="true" t="shared" si="581" ref="D857:Q857">(D856-D841)/D842</f>
        <v>0.5000000000000001</v>
      </c>
      <c r="E857" s="81">
        <f t="shared" si="581"/>
        <v>0.5000000000000001</v>
      </c>
      <c r="F857" s="81">
        <f t="shared" si="581"/>
        <v>0.5000000000000001</v>
      </c>
      <c r="G857" s="144">
        <f t="shared" si="581"/>
        <v>0.5000000000000001</v>
      </c>
      <c r="H857" s="81">
        <f t="shared" si="581"/>
        <v>0.5000000000000001</v>
      </c>
      <c r="I857" s="81">
        <f t="shared" si="581"/>
        <v>0.5000000000000001</v>
      </c>
      <c r="J857" s="82">
        <f t="shared" si="581"/>
        <v>0.5000000000000001</v>
      </c>
      <c r="K857" s="82">
        <f t="shared" si="581"/>
        <v>0.5000000000000001</v>
      </c>
      <c r="L857" s="82">
        <f t="shared" si="581"/>
        <v>0.5000000000000001</v>
      </c>
      <c r="M857" s="83">
        <f t="shared" si="581"/>
        <v>0.5000000000000001</v>
      </c>
      <c r="N857" s="82">
        <f t="shared" si="581"/>
        <v>0.5000000000000001</v>
      </c>
      <c r="O857" s="82">
        <f t="shared" si="581"/>
        <v>0.5000000000000001</v>
      </c>
      <c r="P857" s="82">
        <f t="shared" si="581"/>
        <v>0.5000000000000001</v>
      </c>
      <c r="Q857" s="84">
        <f t="shared" si="581"/>
        <v>0.5000000000000001</v>
      </c>
      <c r="R857" s="69"/>
      <c r="S857" s="69"/>
      <c r="T857" s="69"/>
      <c r="U857" s="69"/>
      <c r="V857" s="69"/>
      <c r="W857" s="69"/>
      <c r="X857" s="69"/>
      <c r="Y857" s="69"/>
      <c r="Z857" s="69"/>
      <c r="AA857" s="69"/>
      <c r="AB857" s="69"/>
      <c r="AC857" s="69"/>
      <c r="AD857" s="69"/>
      <c r="AE857" s="69"/>
      <c r="AF857" s="69"/>
      <c r="AG857" s="69"/>
      <c r="AH857" s="69"/>
      <c r="AI857" s="69"/>
      <c r="AJ857" s="69"/>
      <c r="AK857" s="69"/>
      <c r="AL857" s="69"/>
      <c r="AM857" s="69"/>
      <c r="AN857" s="69"/>
      <c r="AO857" s="69"/>
    </row>
    <row r="858" spans="1:17" ht="17.25" customHeight="1">
      <c r="A858" s="16"/>
      <c r="D858"/>
      <c r="E858" s="43"/>
      <c r="F858" s="43"/>
      <c r="G858" s="143"/>
      <c r="H858" s="43"/>
      <c r="I858" s="43"/>
      <c r="J858" s="2"/>
      <c r="K858" s="2"/>
      <c r="L858" s="2"/>
      <c r="M858" s="8"/>
      <c r="N858" s="2"/>
      <c r="O858" s="2"/>
      <c r="P858" s="2"/>
      <c r="Q858" s="2"/>
    </row>
    <row r="859" spans="1:17" ht="17.25" customHeight="1" hidden="1">
      <c r="A859" s="16"/>
      <c r="C859" s="158" t="s">
        <v>120</v>
      </c>
      <c r="D859" s="43"/>
      <c r="E859" s="43">
        <f aca="true" t="shared" si="582" ref="E859:P859">D854*D841*$H$3</f>
        <v>31.499999999999957</v>
      </c>
      <c r="F859" s="43">
        <f t="shared" si="582"/>
        <v>31.499999999999957</v>
      </c>
      <c r="G859" s="43">
        <f t="shared" si="582"/>
        <v>31.499999999999957</v>
      </c>
      <c r="H859" s="43">
        <f t="shared" si="582"/>
        <v>31.499999999999957</v>
      </c>
      <c r="I859" s="43">
        <f t="shared" si="582"/>
        <v>32.12999999999996</v>
      </c>
      <c r="J859" s="43">
        <f t="shared" si="582"/>
        <v>32.77259999999996</v>
      </c>
      <c r="K859" s="43">
        <f t="shared" si="582"/>
        <v>33.42805199999996</v>
      </c>
      <c r="L859" s="43">
        <f t="shared" si="582"/>
        <v>34.09661303999996</v>
      </c>
      <c r="M859" s="43">
        <f t="shared" si="582"/>
        <v>34.778545300799955</v>
      </c>
      <c r="N859" s="43">
        <f t="shared" si="582"/>
        <v>35.474116206815964</v>
      </c>
      <c r="O859" s="43">
        <f t="shared" si="582"/>
        <v>36.18359853095228</v>
      </c>
      <c r="P859" s="43">
        <f t="shared" si="582"/>
        <v>36.90727050157133</v>
      </c>
      <c r="Q859" s="162">
        <f>P859*(1+O$5)+P859*(1+O$5)*(1+O$5)/(P841-O$5)</f>
        <v>997.6035216574734</v>
      </c>
    </row>
    <row r="860" spans="1:41" s="7" customFormat="1" ht="17.25" customHeight="1" hidden="1">
      <c r="A860" s="16"/>
      <c r="C860" s="158" t="s">
        <v>91</v>
      </c>
      <c r="D860" s="12">
        <v>1</v>
      </c>
      <c r="E860" s="85">
        <f aca="true" t="shared" si="583" ref="E860:Q860">D860/(1+D841)</f>
        <v>0.9433962264150942</v>
      </c>
      <c r="F860" s="85">
        <f t="shared" si="583"/>
        <v>0.8899964400142398</v>
      </c>
      <c r="G860" s="85">
        <f t="shared" si="583"/>
        <v>0.8396192830323017</v>
      </c>
      <c r="H860" s="85">
        <f t="shared" si="583"/>
        <v>0.7920936632380204</v>
      </c>
      <c r="I860" s="85">
        <f t="shared" si="583"/>
        <v>0.747258172866057</v>
      </c>
      <c r="J860" s="85">
        <f t="shared" si="583"/>
        <v>0.7049605404396764</v>
      </c>
      <c r="K860" s="85">
        <f t="shared" si="583"/>
        <v>0.6650571136223362</v>
      </c>
      <c r="L860" s="85">
        <f t="shared" si="583"/>
        <v>0.6274123713418266</v>
      </c>
      <c r="M860" s="85">
        <f t="shared" si="583"/>
        <v>0.5918984635300251</v>
      </c>
      <c r="N860" s="85">
        <f t="shared" si="583"/>
        <v>0.558394776915118</v>
      </c>
      <c r="O860" s="85">
        <f t="shared" si="583"/>
        <v>0.5267875253916207</v>
      </c>
      <c r="P860" s="85">
        <f t="shared" si="583"/>
        <v>0.4969693635770006</v>
      </c>
      <c r="Q860" s="85">
        <f t="shared" si="583"/>
        <v>0.4688390222424534</v>
      </c>
      <c r="R860" s="56"/>
      <c r="S860" s="56"/>
      <c r="T860" s="56"/>
      <c r="U860" s="56"/>
      <c r="V860" s="69"/>
      <c r="W860" s="69"/>
      <c r="X860" s="56"/>
      <c r="Y860" s="56"/>
      <c r="Z860" s="56"/>
      <c r="AA860" s="56"/>
      <c r="AB860" s="56"/>
      <c r="AC860" s="56"/>
      <c r="AD860" s="56"/>
      <c r="AE860" s="56"/>
      <c r="AF860" s="56"/>
      <c r="AG860" s="56"/>
      <c r="AH860" s="56"/>
      <c r="AI860" s="56"/>
      <c r="AJ860" s="56"/>
      <c r="AK860" s="56"/>
      <c r="AL860" s="56"/>
      <c r="AM860" s="56"/>
      <c r="AN860" s="56"/>
      <c r="AO860" s="56"/>
    </row>
    <row r="861" spans="3:17" ht="11.25" customHeight="1" hidden="1">
      <c r="C861" s="158" t="s">
        <v>121</v>
      </c>
      <c r="E861" s="5">
        <f>E860*E859</f>
        <v>29.71698113207543</v>
      </c>
      <c r="F861" s="5">
        <f aca="true" t="shared" si="584" ref="F861:Q861">F860*F859</f>
        <v>28.034887860448517</v>
      </c>
      <c r="G861" s="5">
        <f t="shared" si="584"/>
        <v>26.44800741551747</v>
      </c>
      <c r="H861" s="5">
        <f t="shared" si="584"/>
        <v>24.95095039199761</v>
      </c>
      <c r="I861" s="5">
        <f t="shared" si="584"/>
        <v>24.00940509418638</v>
      </c>
      <c r="J861" s="5">
        <f t="shared" si="584"/>
        <v>23.10338980761331</v>
      </c>
      <c r="K861" s="5">
        <f t="shared" si="584"/>
        <v>22.231563777137335</v>
      </c>
      <c r="L861" s="5">
        <f t="shared" si="584"/>
        <v>21.39263684215102</v>
      </c>
      <c r="M861" s="5">
        <f t="shared" si="584"/>
        <v>20.585367527352865</v>
      </c>
      <c r="N861" s="5">
        <f t="shared" si="584"/>
        <v>19.808561205565972</v>
      </c>
      <c r="O861" s="5">
        <f t="shared" si="584"/>
        <v>19.061068329884232</v>
      </c>
      <c r="P861" s="5">
        <f t="shared" si="584"/>
        <v>18.341782732530113</v>
      </c>
      <c r="Q861" s="5">
        <f t="shared" si="584"/>
        <v>467.715459679518</v>
      </c>
    </row>
    <row r="862" spans="1:17" ht="12" customHeight="1">
      <c r="A862" s="16"/>
      <c r="C862" s="158" t="s">
        <v>119</v>
      </c>
      <c r="D862" s="70">
        <f>SUM(E861:$Q861)/D860</f>
        <v>745.4000617959782</v>
      </c>
      <c r="E862" s="70">
        <f>SUM(F861:$Q861)/E860</f>
        <v>758.6240655037371</v>
      </c>
      <c r="F862" s="70">
        <f>SUM(G861:$Q861)/F860</f>
        <v>772.6415094339613</v>
      </c>
      <c r="G862" s="70">
        <f>SUM(H861:$Q861)/G860</f>
        <v>787.4999999999991</v>
      </c>
      <c r="H862" s="70">
        <f>SUM(I861:$Q861)/H860</f>
        <v>803.2499999999991</v>
      </c>
      <c r="I862" s="70">
        <f>SUM(J861:$Q861)/I860</f>
        <v>819.3149999999991</v>
      </c>
      <c r="J862" s="70">
        <f>SUM(K861:$Q861)/J860</f>
        <v>835.7012999999992</v>
      </c>
      <c r="K862" s="70">
        <f>SUM(L861:$Q861)/K860</f>
        <v>852.4153259999991</v>
      </c>
      <c r="L862" s="70">
        <f>SUM(M861:$Q861)/L860</f>
        <v>869.4636325199992</v>
      </c>
      <c r="M862" s="70">
        <f>SUM(N861:$Q861)/M860</f>
        <v>886.8529051703991</v>
      </c>
      <c r="N862" s="70">
        <f>SUM(O861:$Q861)/N860</f>
        <v>904.5899632738073</v>
      </c>
      <c r="O862" s="70">
        <f>SUM(P861:$Q861)/O860</f>
        <v>922.6817625392836</v>
      </c>
      <c r="P862" s="70">
        <f>SUM(Q861:$Q861)/P860</f>
        <v>941.1353977900692</v>
      </c>
      <c r="Q862" s="70">
        <f>SUM($Q861:R861)/Q860</f>
        <v>997.6035216574734</v>
      </c>
    </row>
    <row r="863" spans="1:17" ht="12" customHeight="1">
      <c r="A863" s="16"/>
      <c r="C863" s="21" t="s">
        <v>103</v>
      </c>
      <c r="D863" s="1">
        <f aca="true" t="shared" si="585" ref="D863:P863">D862+D847</f>
        <v>5580.753179752396</v>
      </c>
      <c r="E863" s="1">
        <f t="shared" si="585"/>
        <v>5834.512495255796</v>
      </c>
      <c r="F863" s="1">
        <f t="shared" si="585"/>
        <v>6249.1187821612275</v>
      </c>
      <c r="G863" s="29">
        <f t="shared" si="585"/>
        <v>6395.624999999992</v>
      </c>
      <c r="H863" s="1">
        <f t="shared" si="585"/>
        <v>6523.537499999991</v>
      </c>
      <c r="I863" s="1">
        <f t="shared" si="585"/>
        <v>6654.008249999992</v>
      </c>
      <c r="J863" s="1">
        <f t="shared" si="585"/>
        <v>6787.088414999991</v>
      </c>
      <c r="K863" s="1">
        <f t="shared" si="585"/>
        <v>6922.830183299991</v>
      </c>
      <c r="L863" s="1">
        <f t="shared" si="585"/>
        <v>7061.286786965991</v>
      </c>
      <c r="M863" s="29">
        <f t="shared" si="585"/>
        <v>7202.51252270531</v>
      </c>
      <c r="N863" s="1">
        <f t="shared" si="585"/>
        <v>7346.562773159419</v>
      </c>
      <c r="O863" s="1">
        <f t="shared" si="585"/>
        <v>7493.494028622606</v>
      </c>
      <c r="P863" s="1">
        <f t="shared" si="585"/>
        <v>7643.363909195059</v>
      </c>
      <c r="Q863" s="1"/>
    </row>
    <row r="864" spans="1:41" s="65" customFormat="1" ht="12" customHeight="1" thickBot="1">
      <c r="A864" s="64"/>
      <c r="B864" s="65" t="s">
        <v>48</v>
      </c>
      <c r="C864" s="77" t="s">
        <v>49</v>
      </c>
      <c r="D864" s="112">
        <f aca="true" t="shared" si="586" ref="D864:P864">D863-D854</f>
        <v>4080.753179752398</v>
      </c>
      <c r="E864" s="79">
        <f t="shared" si="586"/>
        <v>4334.512495255798</v>
      </c>
      <c r="F864" s="79">
        <f t="shared" si="586"/>
        <v>4749.118782161229</v>
      </c>
      <c r="G864" s="95">
        <f t="shared" si="586"/>
        <v>4895.624999999994</v>
      </c>
      <c r="H864" s="79">
        <f t="shared" si="586"/>
        <v>4993.537499999993</v>
      </c>
      <c r="I864" s="79">
        <f t="shared" si="586"/>
        <v>5093.408249999993</v>
      </c>
      <c r="J864" s="79">
        <f t="shared" si="586"/>
        <v>5195.276414999993</v>
      </c>
      <c r="K864" s="79">
        <f t="shared" si="586"/>
        <v>5299.181943299993</v>
      </c>
      <c r="L864" s="79">
        <f t="shared" si="586"/>
        <v>5405.165582165993</v>
      </c>
      <c r="M864" s="95">
        <f t="shared" si="586"/>
        <v>5513.268893809312</v>
      </c>
      <c r="N864" s="79">
        <f t="shared" si="586"/>
        <v>5623.5342716855</v>
      </c>
      <c r="O864" s="79">
        <f t="shared" si="586"/>
        <v>5736.0049571192085</v>
      </c>
      <c r="P864" s="79">
        <f t="shared" si="586"/>
        <v>5850.725056261594</v>
      </c>
      <c r="Q864" s="79"/>
      <c r="R864" s="69"/>
      <c r="S864" s="69"/>
      <c r="T864" s="69"/>
      <c r="U864" s="69"/>
      <c r="V864" s="69"/>
      <c r="W864" s="69"/>
      <c r="X864" s="69"/>
      <c r="Y864" s="69"/>
      <c r="Z864" s="69"/>
      <c r="AA864" s="69"/>
      <c r="AB864" s="69"/>
      <c r="AC864" s="69"/>
      <c r="AD864" s="69"/>
      <c r="AE864" s="69"/>
      <c r="AF864" s="69"/>
      <c r="AG864" s="69"/>
      <c r="AH864" s="69"/>
      <c r="AI864" s="69"/>
      <c r="AJ864" s="69"/>
      <c r="AK864" s="69"/>
      <c r="AL864" s="69"/>
      <c r="AM864" s="69"/>
      <c r="AN864" s="69"/>
      <c r="AO864" s="69"/>
    </row>
    <row r="865" spans="1:17" ht="10.5" hidden="1">
      <c r="A865" s="16"/>
      <c r="C865" s="6" t="s">
        <v>50</v>
      </c>
      <c r="D865" s="6"/>
      <c r="E865" s="44">
        <f aca="true" t="shared" si="587" ref="E865:Q865">E864/D864-1</f>
        <v>0.06218443123746997</v>
      </c>
      <c r="F865" s="44">
        <f t="shared" si="587"/>
        <v>0.09565234553118152</v>
      </c>
      <c r="G865" s="30">
        <f t="shared" si="587"/>
        <v>0.030849137399779236</v>
      </c>
      <c r="H865" s="44">
        <f t="shared" si="587"/>
        <v>0.020000000000000018</v>
      </c>
      <c r="I865" s="44">
        <f t="shared" si="587"/>
        <v>0.020000000000000018</v>
      </c>
      <c r="J865" s="44">
        <f t="shared" si="587"/>
        <v>0.020000000000000018</v>
      </c>
      <c r="K865" s="44">
        <f t="shared" si="587"/>
        <v>0.020000000000000018</v>
      </c>
      <c r="L865" s="44">
        <f t="shared" si="587"/>
        <v>0.02000000000000024</v>
      </c>
      <c r="M865" s="30">
        <f t="shared" si="587"/>
        <v>0.019999999999999796</v>
      </c>
      <c r="N865" s="44">
        <f t="shared" si="587"/>
        <v>0.02000000000000024</v>
      </c>
      <c r="O865" s="44">
        <f t="shared" si="587"/>
        <v>0.019999999999999796</v>
      </c>
      <c r="P865" s="44">
        <f t="shared" si="587"/>
        <v>0.02000000000000024</v>
      </c>
      <c r="Q865" s="44">
        <f t="shared" si="587"/>
        <v>-1</v>
      </c>
    </row>
    <row r="866" spans="1:17" ht="9" customHeight="1">
      <c r="A866" s="16"/>
      <c r="C866" s="6"/>
      <c r="D866" s="6"/>
      <c r="E866" s="6"/>
      <c r="F866" s="6"/>
      <c r="G866" s="145"/>
      <c r="H866" s="6"/>
      <c r="I866" s="6"/>
      <c r="J866" s="6"/>
      <c r="K866" s="6"/>
      <c r="L866" s="6"/>
      <c r="M866" s="30"/>
      <c r="N866" s="6"/>
      <c r="O866" s="6"/>
      <c r="P866" s="6"/>
      <c r="Q866" s="44"/>
    </row>
    <row r="867" spans="1:17" ht="12.75" customHeight="1">
      <c r="A867" s="16"/>
      <c r="C867" s="4" t="s">
        <v>51</v>
      </c>
      <c r="D867" s="12">
        <f aca="true" t="shared" si="588" ref="D867:P867">D840*(D854*(1-E$30)+D873)/D873-D857*D854*(1-E$30)/D873</f>
        <v>1.1194632408592715</v>
      </c>
      <c r="E867" s="12">
        <f t="shared" si="588"/>
        <v>1.1124693954703273</v>
      </c>
      <c r="F867" s="12">
        <f t="shared" si="588"/>
        <v>1.1026506226441757</v>
      </c>
      <c r="G867" s="12">
        <f t="shared" si="588"/>
        <v>1.0995787054768287</v>
      </c>
      <c r="H867" s="12">
        <f t="shared" si="588"/>
        <v>1.0995787054768287</v>
      </c>
      <c r="I867" s="12">
        <f t="shared" si="588"/>
        <v>1.0995787054768287</v>
      </c>
      <c r="J867" s="12">
        <f t="shared" si="588"/>
        <v>1.0995787054768287</v>
      </c>
      <c r="K867" s="12">
        <f t="shared" si="588"/>
        <v>1.0995787054768287</v>
      </c>
      <c r="L867" s="12">
        <f t="shared" si="588"/>
        <v>1.099578705476829</v>
      </c>
      <c r="M867" s="12">
        <f t="shared" si="588"/>
        <v>1.099578705476829</v>
      </c>
      <c r="N867" s="12">
        <f t="shared" si="588"/>
        <v>1.0995787054768287</v>
      </c>
      <c r="O867" s="12">
        <f t="shared" si="588"/>
        <v>1.0995787054768287</v>
      </c>
      <c r="P867" s="12">
        <f t="shared" si="588"/>
        <v>1.0995787054768287</v>
      </c>
      <c r="Q867" s="12"/>
    </row>
    <row r="868" spans="1:41" s="7" customFormat="1" ht="12.75" customHeight="1">
      <c r="A868" s="16"/>
      <c r="C868" s="7" t="s">
        <v>52</v>
      </c>
      <c r="D868" s="51">
        <f aca="true" t="shared" si="589" ref="D868:I868">(E864+E40)/D864-1</f>
        <v>0.10261814352830045</v>
      </c>
      <c r="E868" s="51">
        <f t="shared" si="589"/>
        <v>0.10234283264633937</v>
      </c>
      <c r="F868" s="51">
        <f t="shared" si="589"/>
        <v>0.10202023576640795</v>
      </c>
      <c r="G868" s="51">
        <f t="shared" si="589"/>
        <v>0.10183837610111057</v>
      </c>
      <c r="H868" s="51">
        <f t="shared" si="589"/>
        <v>0.10183837610111102</v>
      </c>
      <c r="I868" s="51">
        <f t="shared" si="589"/>
        <v>0.1018383761011108</v>
      </c>
      <c r="J868" s="51">
        <f>$O$5+J40/I864</f>
        <v>0.10183837610111084</v>
      </c>
      <c r="K868" s="51">
        <f>$O$5+K40/J864</f>
        <v>0.1018383761011108</v>
      </c>
      <c r="L868" s="51">
        <f>$O$5+L40/K864</f>
        <v>0.10183837610111073</v>
      </c>
      <c r="M868" s="51">
        <f>$O$5+M40/L864</f>
        <v>0.10183837610111085</v>
      </c>
      <c r="N868" s="51">
        <f>$O$5+N40/M864</f>
        <v>0.10183837610111082</v>
      </c>
      <c r="O868" s="51">
        <f>$O$5+P40/O864</f>
        <v>0.10183837610111073</v>
      </c>
      <c r="P868" s="51">
        <f>$O$5+Q40/P864</f>
        <v>0.1018383761011107</v>
      </c>
      <c r="Q868" s="51">
        <f>P868</f>
        <v>0.1018383761011107</v>
      </c>
      <c r="R868" s="56"/>
      <c r="S868" s="56"/>
      <c r="T868" s="56"/>
      <c r="U868" s="56"/>
      <c r="V868" s="69"/>
      <c r="W868" s="69"/>
      <c r="X868" s="56"/>
      <c r="Y868" s="56"/>
      <c r="Z868" s="56"/>
      <c r="AA868" s="56"/>
      <c r="AB868" s="56"/>
      <c r="AC868" s="56"/>
      <c r="AD868" s="56"/>
      <c r="AE868" s="56"/>
      <c r="AF868" s="56"/>
      <c r="AG868" s="56"/>
      <c r="AH868" s="56"/>
      <c r="AI868" s="56"/>
      <c r="AJ868" s="56"/>
      <c r="AK868" s="56"/>
      <c r="AL868" s="56"/>
      <c r="AM868" s="56"/>
      <c r="AN868" s="56"/>
      <c r="AO868" s="56"/>
    </row>
    <row r="869" spans="1:17" ht="12.75" customHeight="1">
      <c r="A869" s="16"/>
      <c r="C869" s="21" t="s">
        <v>53</v>
      </c>
      <c r="D869" s="12">
        <v>1</v>
      </c>
      <c r="E869" s="12">
        <f>1/(1+D868)</f>
        <v>0.9069322918994153</v>
      </c>
      <c r="F869" s="46">
        <f aca="true" t="shared" si="590" ref="F869:Q869">E869/(1+E868)</f>
        <v>0.8227316085706189</v>
      </c>
      <c r="G869" s="96">
        <f t="shared" si="590"/>
        <v>0.746566698022967</v>
      </c>
      <c r="H869" s="46">
        <f t="shared" si="590"/>
        <v>0.677564617657189</v>
      </c>
      <c r="I869" s="46">
        <f t="shared" si="590"/>
        <v>0.6149401149511349</v>
      </c>
      <c r="J869" s="46">
        <f t="shared" si="590"/>
        <v>0.5581037367087536</v>
      </c>
      <c r="K869" s="46">
        <f t="shared" si="590"/>
        <v>0.5065205104614534</v>
      </c>
      <c r="L869" s="46">
        <f t="shared" si="590"/>
        <v>0.45970490903919314</v>
      </c>
      <c r="M869" s="96">
        <f t="shared" si="590"/>
        <v>0.41721628054549453</v>
      </c>
      <c r="N869" s="46">
        <f t="shared" si="590"/>
        <v>0.3786547007210143</v>
      </c>
      <c r="O869" s="46">
        <f t="shared" si="590"/>
        <v>0.3436572086560424</v>
      </c>
      <c r="P869" s="46">
        <f t="shared" si="590"/>
        <v>0.3118943904205661</v>
      </c>
      <c r="Q869" s="46">
        <f t="shared" si="590"/>
        <v>0.2830672784553158</v>
      </c>
    </row>
    <row r="870" spans="1:17" ht="12.75" customHeight="1">
      <c r="A870" s="16"/>
      <c r="B870" s="42"/>
      <c r="C870" s="42" t="s">
        <v>122</v>
      </c>
      <c r="D870" s="42"/>
      <c r="E870" s="23">
        <f>E$40</f>
        <v>165</v>
      </c>
      <c r="F870" s="23">
        <f aca="true" t="shared" si="591" ref="F870:P870">F$40</f>
        <v>29</v>
      </c>
      <c r="G870" s="23">
        <f t="shared" si="591"/>
        <v>338</v>
      </c>
      <c r="H870" s="23">
        <f t="shared" si="591"/>
        <v>400.6500000000001</v>
      </c>
      <c r="I870" s="23">
        <f t="shared" si="591"/>
        <v>408.663</v>
      </c>
      <c r="J870" s="23">
        <f t="shared" si="591"/>
        <v>416.83626000000015</v>
      </c>
      <c r="K870" s="23">
        <f t="shared" si="591"/>
        <v>425.17298519999997</v>
      </c>
      <c r="L870" s="23">
        <f t="shared" si="591"/>
        <v>433.6764449039996</v>
      </c>
      <c r="M870" s="23">
        <f t="shared" si="591"/>
        <v>442.3499738020803</v>
      </c>
      <c r="N870" s="23">
        <f t="shared" si="591"/>
        <v>451.19697327812173</v>
      </c>
      <c r="O870" s="23">
        <f t="shared" si="591"/>
        <v>460.2209127436847</v>
      </c>
      <c r="P870" s="23">
        <f t="shared" si="591"/>
        <v>469.42533099855723</v>
      </c>
      <c r="Q870" s="1">
        <f>P870*(1+O$5)+P870*(1+O$5)*(1+O$5)/(P868-O$5)</f>
        <v>6446.553395005354</v>
      </c>
    </row>
    <row r="871" spans="1:41" s="134" customFormat="1" ht="12.75" customHeight="1">
      <c r="A871" s="133"/>
      <c r="C871" s="135" t="s">
        <v>54</v>
      </c>
      <c r="D871" s="136"/>
      <c r="E871" s="136">
        <f>E870*E869</f>
        <v>149.64382816340353</v>
      </c>
      <c r="F871" s="136">
        <f>F870*F869</f>
        <v>23.85921664854795</v>
      </c>
      <c r="G871" s="137">
        <f aca="true" t="shared" si="592" ref="G871:Q871">G870*G869</f>
        <v>252.33954393176288</v>
      </c>
      <c r="H871" s="136">
        <f t="shared" si="592"/>
        <v>271.46626406435286</v>
      </c>
      <c r="I871" s="136">
        <f t="shared" si="592"/>
        <v>251.30327219627563</v>
      </c>
      <c r="J871" s="136">
        <f t="shared" si="592"/>
        <v>232.63787430170163</v>
      </c>
      <c r="K871" s="136">
        <f t="shared" si="592"/>
        <v>215.35883749792396</v>
      </c>
      <c r="L871" s="136">
        <f t="shared" si="592"/>
        <v>199.36319065703378</v>
      </c>
      <c r="M871" s="137">
        <f t="shared" si="592"/>
        <v>184.5556107691009</v>
      </c>
      <c r="N871" s="136">
        <f t="shared" si="592"/>
        <v>170.84785488285468</v>
      </c>
      <c r="O871" s="136">
        <f t="shared" si="592"/>
        <v>158.15823423863074</v>
      </c>
      <c r="P871" s="136">
        <f t="shared" si="592"/>
        <v>146.41112745976747</v>
      </c>
      <c r="Q871" s="136">
        <f t="shared" si="592"/>
        <v>1824.8083249410422</v>
      </c>
      <c r="R871" s="138"/>
      <c r="S871" s="138"/>
      <c r="T871" s="138"/>
      <c r="U871" s="138"/>
      <c r="V871" s="138"/>
      <c r="W871" s="138"/>
      <c r="X871" s="138"/>
      <c r="Y871" s="138"/>
      <c r="Z871" s="138"/>
      <c r="AA871" s="138"/>
      <c r="AB871" s="138"/>
      <c r="AC871" s="138"/>
      <c r="AD871" s="138"/>
      <c r="AE871" s="138"/>
      <c r="AF871" s="138"/>
      <c r="AG871" s="138"/>
      <c r="AH871" s="138"/>
      <c r="AI871" s="138"/>
      <c r="AJ871" s="138"/>
      <c r="AK871" s="138"/>
      <c r="AL871" s="138"/>
      <c r="AM871" s="138"/>
      <c r="AN871" s="138"/>
      <c r="AO871" s="138"/>
    </row>
    <row r="872" spans="1:41" s="65" customFormat="1" ht="12.75" customHeight="1" thickBot="1">
      <c r="A872" s="64"/>
      <c r="C872" s="66" t="s">
        <v>55</v>
      </c>
      <c r="D872" s="79">
        <f>SUM(E871:$Q871)/D869</f>
        <v>4080.753179752399</v>
      </c>
      <c r="E872" s="79">
        <f>SUM(F871:$Q871)/E869</f>
        <v>4334.512495255798</v>
      </c>
      <c r="F872" s="79">
        <f>SUM(G871:$Q871)/F869</f>
        <v>4749.118782161229</v>
      </c>
      <c r="G872" s="95">
        <f>SUM(H871:$Q871)/G869</f>
        <v>4895.6249999999945</v>
      </c>
      <c r="H872" s="79">
        <f>SUM(I871:$Q871)/H869</f>
        <v>4993.537499999993</v>
      </c>
      <c r="I872" s="79">
        <f>SUM(J871:$Q871)/I869</f>
        <v>5093.408249999995</v>
      </c>
      <c r="J872" s="79">
        <f>SUM(K871:$Q871)/J869</f>
        <v>5195.276414999994</v>
      </c>
      <c r="K872" s="79">
        <f>SUM(L871:$Q871)/K869</f>
        <v>5299.181943299995</v>
      </c>
      <c r="L872" s="79">
        <f>SUM(M871:$Q871)/L869</f>
        <v>5405.165582165995</v>
      </c>
      <c r="M872" s="95">
        <f>SUM(N871:$Q871)/M869</f>
        <v>5513.268893809314</v>
      </c>
      <c r="N872" s="79">
        <f>SUM(O871:$Q871)/N869</f>
        <v>5623.534271685501</v>
      </c>
      <c r="O872" s="79">
        <f>SUM(P871:$Q871)/O869</f>
        <v>5736.004957119209</v>
      </c>
      <c r="P872" s="79">
        <f>SUM(Q871:$Q871)/P869</f>
        <v>5850.725056261594</v>
      </c>
      <c r="Q872" s="79"/>
      <c r="R872" s="69"/>
      <c r="S872" s="69"/>
      <c r="T872" s="69"/>
      <c r="U872" s="69"/>
      <c r="V872" s="69"/>
      <c r="W872" s="69"/>
      <c r="X872" s="69"/>
      <c r="Y872" s="69"/>
      <c r="Z872" s="69"/>
      <c r="AA872" s="69"/>
      <c r="AB872" s="69"/>
      <c r="AC872" s="69"/>
      <c r="AD872" s="69"/>
      <c r="AE872" s="69"/>
      <c r="AF872" s="69"/>
      <c r="AG872" s="69"/>
      <c r="AH872" s="69"/>
      <c r="AI872" s="69"/>
      <c r="AJ872" s="69"/>
      <c r="AK872" s="69"/>
      <c r="AL872" s="69"/>
      <c r="AM872" s="69"/>
      <c r="AN872" s="69"/>
      <c r="AO872" s="69"/>
    </row>
    <row r="873" spans="1:17" ht="12" customHeight="1">
      <c r="A873" s="16"/>
      <c r="C873" s="89" t="s">
        <v>56</v>
      </c>
      <c r="D873" s="68">
        <f>D872</f>
        <v>4080.753179752399</v>
      </c>
      <c r="E873" s="68">
        <f aca="true" t="shared" si="593" ref="E873:P873">D873*(1+D868)-E870</f>
        <v>4334.512495255799</v>
      </c>
      <c r="F873" s="68">
        <f t="shared" si="593"/>
        <v>4749.11878216123</v>
      </c>
      <c r="G873" s="100">
        <f t="shared" si="593"/>
        <v>4895.624999999995</v>
      </c>
      <c r="H873" s="68">
        <f t="shared" si="593"/>
        <v>4993.537499999995</v>
      </c>
      <c r="I873" s="68">
        <f t="shared" si="593"/>
        <v>5093.408249999997</v>
      </c>
      <c r="J873" s="68">
        <f t="shared" si="593"/>
        <v>5195.276414999997</v>
      </c>
      <c r="K873" s="68">
        <f t="shared" si="593"/>
        <v>5299.181943299997</v>
      </c>
      <c r="L873" s="68">
        <f t="shared" si="593"/>
        <v>5405.165582165999</v>
      </c>
      <c r="M873" s="100">
        <f t="shared" si="593"/>
        <v>5513.268893809319</v>
      </c>
      <c r="N873" s="68">
        <f t="shared" si="593"/>
        <v>5623.534271685506</v>
      </c>
      <c r="O873" s="68">
        <f t="shared" si="593"/>
        <v>5736.004957119216</v>
      </c>
      <c r="P873" s="68">
        <f t="shared" si="593"/>
        <v>5850.725056261601</v>
      </c>
      <c r="Q873" s="68"/>
    </row>
    <row r="874" spans="1:13" ht="9" customHeight="1">
      <c r="A874" s="16"/>
      <c r="D874" s="41"/>
      <c r="E874" s="5"/>
      <c r="M874" s="31"/>
    </row>
    <row r="875" spans="1:41" s="7" customFormat="1" ht="13.5" customHeight="1">
      <c r="A875" s="16"/>
      <c r="C875" s="7" t="s">
        <v>57</v>
      </c>
      <c r="D875" s="49">
        <f aca="true" t="shared" si="594" ref="D875:P875">(D873*D868+D854*D856-D850*D855*E$30)/(D873+D854)</f>
        <v>0.08901295210576574</v>
      </c>
      <c r="E875" s="49">
        <f t="shared" si="594"/>
        <v>0.08940014908350327</v>
      </c>
      <c r="F875" s="49">
        <f t="shared" si="594"/>
        <v>0.09001368632078148</v>
      </c>
      <c r="G875" s="49">
        <f t="shared" si="594"/>
        <v>0.09014951627088821</v>
      </c>
      <c r="H875" s="49">
        <f t="shared" si="594"/>
        <v>0.09014951627088856</v>
      </c>
      <c r="I875" s="49">
        <f t="shared" si="594"/>
        <v>0.09014951627088837</v>
      </c>
      <c r="J875" s="49">
        <f t="shared" si="594"/>
        <v>0.09014951627088841</v>
      </c>
      <c r="K875" s="49">
        <f t="shared" si="594"/>
        <v>0.0901495162708884</v>
      </c>
      <c r="L875" s="49">
        <f t="shared" si="594"/>
        <v>0.09014951627088834</v>
      </c>
      <c r="M875" s="49">
        <f t="shared" si="594"/>
        <v>0.09014951627088842</v>
      </c>
      <c r="N875" s="49">
        <f t="shared" si="594"/>
        <v>0.09014951627088841</v>
      </c>
      <c r="O875" s="49">
        <f t="shared" si="594"/>
        <v>0.09014951627088834</v>
      </c>
      <c r="P875" s="49">
        <f t="shared" si="594"/>
        <v>0.0901495162708883</v>
      </c>
      <c r="Q875" s="49">
        <f>P875</f>
        <v>0.0901495162708883</v>
      </c>
      <c r="R875" s="56"/>
      <c r="S875" s="56"/>
      <c r="T875" s="56"/>
      <c r="U875" s="56"/>
      <c r="V875" s="56"/>
      <c r="W875" s="56"/>
      <c r="X875" s="56"/>
      <c r="Y875" s="56"/>
      <c r="Z875" s="56"/>
      <c r="AA875" s="56"/>
      <c r="AB875" s="56"/>
      <c r="AC875" s="56"/>
      <c r="AD875" s="56"/>
      <c r="AE875" s="56"/>
      <c r="AF875" s="56"/>
      <c r="AG875" s="56"/>
      <c r="AH875" s="56"/>
      <c r="AI875" s="56"/>
      <c r="AJ875" s="56"/>
      <c r="AK875" s="56"/>
      <c r="AL875" s="56"/>
      <c r="AM875" s="56"/>
      <c r="AN875" s="56"/>
      <c r="AO875" s="56"/>
    </row>
    <row r="876" spans="1:17" ht="13.5" customHeight="1" hidden="1">
      <c r="A876" s="16"/>
      <c r="C876" s="21" t="s">
        <v>58</v>
      </c>
      <c r="D876" s="12">
        <v>1</v>
      </c>
      <c r="E876" s="12">
        <f>1/(1+D875)</f>
        <v>0.9182627241176093</v>
      </c>
      <c r="F876" s="12">
        <f aca="true" t="shared" si="595" ref="F876:Q876">E876/(1+E875)</f>
        <v>0.8429067362347349</v>
      </c>
      <c r="G876" s="98">
        <f t="shared" si="595"/>
        <v>0.7732992225812061</v>
      </c>
      <c r="H876" s="12">
        <f t="shared" si="595"/>
        <v>0.7093515256755396</v>
      </c>
      <c r="I876" s="12">
        <f t="shared" si="595"/>
        <v>0.6506919602203214</v>
      </c>
      <c r="J876" s="12">
        <f t="shared" si="595"/>
        <v>0.5968832261157768</v>
      </c>
      <c r="K876" s="12">
        <f t="shared" si="595"/>
        <v>0.5475241856342381</v>
      </c>
      <c r="L876" s="12">
        <f t="shared" si="595"/>
        <v>0.5022468729859852</v>
      </c>
      <c r="M876" s="98">
        <f t="shared" si="595"/>
        <v>0.46071375117794694</v>
      </c>
      <c r="N876" s="12">
        <f t="shared" si="595"/>
        <v>0.4226151957154704</v>
      </c>
      <c r="O876" s="12">
        <f t="shared" si="595"/>
        <v>0.3876671863884548</v>
      </c>
      <c r="P876" s="12">
        <f t="shared" si="595"/>
        <v>0.35560918993438734</v>
      </c>
      <c r="Q876" s="12">
        <f t="shared" si="595"/>
        <v>0.32620221779378655</v>
      </c>
    </row>
    <row r="877" spans="1:17" ht="13.5" customHeight="1" hidden="1">
      <c r="A877" s="45"/>
      <c r="B877" s="42"/>
      <c r="C877" s="42" t="s">
        <v>31</v>
      </c>
      <c r="D877" s="42"/>
      <c r="E877" s="23">
        <f>E$41</f>
        <v>243</v>
      </c>
      <c r="F877" s="23">
        <f aca="true" t="shared" si="596" ref="F877:P877">F$41</f>
        <v>107</v>
      </c>
      <c r="G877" s="23">
        <f t="shared" si="596"/>
        <v>416</v>
      </c>
      <c r="H877" s="23">
        <f t="shared" si="596"/>
        <v>448.6500000000001</v>
      </c>
      <c r="I877" s="23">
        <f t="shared" si="596"/>
        <v>457.6229999999999</v>
      </c>
      <c r="J877" s="23">
        <f t="shared" si="596"/>
        <v>466.7754600000002</v>
      </c>
      <c r="K877" s="23">
        <f t="shared" si="596"/>
        <v>476.1109691999999</v>
      </c>
      <c r="L877" s="23">
        <f t="shared" si="596"/>
        <v>485.63318858399964</v>
      </c>
      <c r="M877" s="23">
        <f t="shared" si="596"/>
        <v>495.3458523556802</v>
      </c>
      <c r="N877" s="23">
        <f t="shared" si="596"/>
        <v>505.2527694027938</v>
      </c>
      <c r="O877" s="23">
        <f t="shared" si="596"/>
        <v>515.35782479085</v>
      </c>
      <c r="P877" s="23">
        <f t="shared" si="596"/>
        <v>525.6649812866659</v>
      </c>
      <c r="Q877" s="1">
        <f>P877*(1+O$5)+P877*(1+O$5)*(1+O$5)/(P875-O$5)</f>
        <v>8332.409468291362</v>
      </c>
    </row>
    <row r="878" spans="1:17" ht="13.5" customHeight="1" hidden="1">
      <c r="A878" s="16"/>
      <c r="C878" s="21" t="s">
        <v>38</v>
      </c>
      <c r="D878" s="1"/>
      <c r="E878" s="1">
        <f aca="true" t="shared" si="597" ref="E878:Q878">E877*E876</f>
        <v>223.13784196057907</v>
      </c>
      <c r="F878" s="1">
        <f t="shared" si="597"/>
        <v>90.19102077711663</v>
      </c>
      <c r="G878" s="29">
        <f t="shared" si="597"/>
        <v>321.69247659378175</v>
      </c>
      <c r="H878" s="1">
        <f t="shared" si="597"/>
        <v>318.2505619943309</v>
      </c>
      <c r="I878" s="1">
        <f t="shared" si="597"/>
        <v>297.77160691190403</v>
      </c>
      <c r="J878" s="1">
        <f t="shared" si="597"/>
        <v>278.61044243647586</v>
      </c>
      <c r="K878" s="1">
        <f t="shared" si="597"/>
        <v>260.68227068275775</v>
      </c>
      <c r="L878" s="1">
        <f t="shared" si="597"/>
        <v>243.90775038452708</v>
      </c>
      <c r="M878" s="29">
        <f t="shared" si="597"/>
        <v>228.2126457692229</v>
      </c>
      <c r="N878" s="1">
        <f t="shared" si="597"/>
        <v>213.52749802694512</v>
      </c>
      <c r="O878" s="1">
        <f t="shared" si="597"/>
        <v>199.7873179199431</v>
      </c>
      <c r="P878" s="1">
        <f t="shared" si="597"/>
        <v>186.93129817222615</v>
      </c>
      <c r="Q878" s="1">
        <f t="shared" si="597"/>
        <v>2718.050448122588</v>
      </c>
    </row>
    <row r="879" spans="1:17" ht="13.5" customHeight="1">
      <c r="A879" s="16"/>
      <c r="B879" s="4" t="s">
        <v>59</v>
      </c>
      <c r="C879" s="42" t="s">
        <v>60</v>
      </c>
      <c r="D879" s="18">
        <f>SUM(E878:$Q878)/D876</f>
        <v>5580.753179752399</v>
      </c>
      <c r="E879" s="18">
        <f>SUM(F878:$Q878)/E876</f>
        <v>5834.512495255799</v>
      </c>
      <c r="F879" s="18">
        <f>SUM(G878:$Q878)/F876</f>
        <v>6249.118782161228</v>
      </c>
      <c r="G879" s="91">
        <f>SUM(H878:$Q878)/G876</f>
        <v>6395.624999999993</v>
      </c>
      <c r="H879" s="18">
        <f>SUM(I878:$Q878)/H876</f>
        <v>6523.537499999993</v>
      </c>
      <c r="I879" s="18">
        <f>SUM(J878:$Q878)/I876</f>
        <v>6654.008249999993</v>
      </c>
      <c r="J879" s="18">
        <f>SUM(K878:$Q878)/J876</f>
        <v>6787.088414999993</v>
      </c>
      <c r="K879" s="18">
        <f>SUM(L878:$Q878)/K876</f>
        <v>6922.830183299994</v>
      </c>
      <c r="L879" s="18">
        <f>SUM(M878:$Q878)/L876</f>
        <v>7061.286786965994</v>
      </c>
      <c r="M879" s="91">
        <f>SUM(N878:$Q878)/M876</f>
        <v>7202.512522705312</v>
      </c>
      <c r="N879" s="18">
        <f>SUM(O878:$Q878)/N876</f>
        <v>7346.5627731594195</v>
      </c>
      <c r="O879" s="18">
        <f>SUM(P878:$Q878)/O876</f>
        <v>7493.494028622608</v>
      </c>
      <c r="P879" s="18">
        <f>SUM(Q878:$Q878)/P876</f>
        <v>7643.363909195062</v>
      </c>
      <c r="Q879" s="18"/>
    </row>
    <row r="880" spans="1:41" s="65" customFormat="1" ht="12.75" customHeight="1" thickBot="1">
      <c r="A880" s="64"/>
      <c r="B880" s="65" t="s">
        <v>48</v>
      </c>
      <c r="C880" s="77" t="s">
        <v>61</v>
      </c>
      <c r="D880" s="79">
        <f aca="true" t="shared" si="598" ref="D880:P880">D879-D854</f>
        <v>4080.7531797524007</v>
      </c>
      <c r="E880" s="79">
        <f t="shared" si="598"/>
        <v>4334.512495255801</v>
      </c>
      <c r="F880" s="79">
        <f t="shared" si="598"/>
        <v>4749.11878216123</v>
      </c>
      <c r="G880" s="95">
        <f t="shared" si="598"/>
        <v>4895.6249999999945</v>
      </c>
      <c r="H880" s="79">
        <f t="shared" si="598"/>
        <v>4993.537499999995</v>
      </c>
      <c r="I880" s="79">
        <f t="shared" si="598"/>
        <v>5093.408249999994</v>
      </c>
      <c r="J880" s="79">
        <f t="shared" si="598"/>
        <v>5195.276414999995</v>
      </c>
      <c r="K880" s="79">
        <f t="shared" si="598"/>
        <v>5299.181943299996</v>
      </c>
      <c r="L880" s="79">
        <f t="shared" si="598"/>
        <v>5405.165582165996</v>
      </c>
      <c r="M880" s="95">
        <f t="shared" si="598"/>
        <v>5513.268893809314</v>
      </c>
      <c r="N880" s="79">
        <f t="shared" si="598"/>
        <v>5623.534271685501</v>
      </c>
      <c r="O880" s="79">
        <f t="shared" si="598"/>
        <v>5736.004957119211</v>
      </c>
      <c r="P880" s="79">
        <f t="shared" si="598"/>
        <v>5850.725056261597</v>
      </c>
      <c r="Q880" s="108"/>
      <c r="R880" s="69"/>
      <c r="S880" s="69"/>
      <c r="T880" s="69"/>
      <c r="U880" s="69"/>
      <c r="V880" s="69"/>
      <c r="W880" s="69"/>
      <c r="X880" s="69"/>
      <c r="Y880" s="69"/>
      <c r="Z880" s="69"/>
      <c r="AA880" s="69"/>
      <c r="AB880" s="69"/>
      <c r="AC880" s="69"/>
      <c r="AD880" s="69"/>
      <c r="AE880" s="69"/>
      <c r="AF880" s="69"/>
      <c r="AG880" s="69"/>
      <c r="AH880" s="69"/>
      <c r="AI880" s="69"/>
      <c r="AJ880" s="69"/>
      <c r="AK880" s="69"/>
      <c r="AL880" s="69"/>
      <c r="AM880" s="69"/>
      <c r="AN880" s="69"/>
      <c r="AO880" s="69"/>
    </row>
    <row r="881" spans="1:17" ht="12.75" customHeight="1">
      <c r="A881" s="16"/>
      <c r="C881" s="72" t="s">
        <v>62</v>
      </c>
      <c r="D881" s="70">
        <f>D879</f>
        <v>5580.753179752399</v>
      </c>
      <c r="E881" s="70">
        <f aca="true" t="shared" si="599" ref="E881:P881">D881*(1+D875)-E833</f>
        <v>2230.136462197948</v>
      </c>
      <c r="F881" s="70">
        <f t="shared" si="599"/>
        <v>-1823.102641968635</v>
      </c>
      <c r="G881" s="29">
        <f t="shared" si="599"/>
        <v>-6376.581831313387</v>
      </c>
      <c r="H881" s="70">
        <f t="shared" si="599"/>
        <v>-11428.590098868022</v>
      </c>
      <c r="I881" s="70">
        <f t="shared" si="599"/>
        <v>-17025.57771793924</v>
      </c>
      <c r="J881" s="70">
        <f t="shared" si="599"/>
        <v>-23218.465178443876</v>
      </c>
      <c r="K881" s="70">
        <f t="shared" si="599"/>
        <v>-30062.799245133057</v>
      </c>
      <c r="L881" s="70">
        <f t="shared" si="599"/>
        <v>-37619.17073037663</v>
      </c>
      <c r="M881" s="29">
        <f t="shared" si="599"/>
        <v>-45953.66994328896</v>
      </c>
      <c r="N881" s="70">
        <f t="shared" si="599"/>
        <v>-55138.383211986584</v>
      </c>
      <c r="O881" s="70">
        <f t="shared" si="599"/>
        <v>-65251.93418199287</v>
      </c>
      <c r="P881" s="70">
        <f t="shared" si="599"/>
        <v>-76380.07392763592</v>
      </c>
      <c r="Q881" s="88"/>
    </row>
    <row r="882" spans="1:17" ht="6.75" customHeight="1">
      <c r="A882" s="16"/>
      <c r="C882" s="6"/>
      <c r="D882" s="6"/>
      <c r="E882" s="44"/>
      <c r="F882" s="44"/>
      <c r="G882" s="30"/>
      <c r="H882" s="44"/>
      <c r="I882" s="44"/>
      <c r="J882" s="44"/>
      <c r="K882" s="44"/>
      <c r="L882" s="44"/>
      <c r="M882" s="30"/>
      <c r="N882" s="44"/>
      <c r="O882" s="44"/>
      <c r="P882" s="44"/>
      <c r="Q882" s="44"/>
    </row>
    <row r="883" spans="1:41" s="7" customFormat="1" ht="13.5" customHeight="1">
      <c r="A883" s="16"/>
      <c r="C883" s="7" t="s">
        <v>63</v>
      </c>
      <c r="D883" s="49">
        <f aca="true" t="shared" si="600" ref="D883:P883">(D854*D856+D864*D868)/(D854+D864)</f>
        <v>0.09653881799648112</v>
      </c>
      <c r="E883" s="49">
        <f t="shared" si="600"/>
        <v>0.0965986939549302</v>
      </c>
      <c r="F883" s="49">
        <f t="shared" si="600"/>
        <v>0.09673463393981113</v>
      </c>
      <c r="G883" s="132">
        <f t="shared" si="600"/>
        <v>0.09671650542362935</v>
      </c>
      <c r="H883" s="49">
        <f t="shared" si="600"/>
        <v>0.0967165054236297</v>
      </c>
      <c r="I883" s="49">
        <f t="shared" si="600"/>
        <v>0.09671650542362951</v>
      </c>
      <c r="J883" s="49">
        <f t="shared" si="600"/>
        <v>0.09671650542362956</v>
      </c>
      <c r="K883" s="49">
        <f t="shared" si="600"/>
        <v>0.09671650542362951</v>
      </c>
      <c r="L883" s="49">
        <f t="shared" si="600"/>
        <v>0.09671650542362946</v>
      </c>
      <c r="M883" s="132">
        <f t="shared" si="600"/>
        <v>0.09671650542362957</v>
      </c>
      <c r="N883" s="49">
        <f t="shared" si="600"/>
        <v>0.09671650542362954</v>
      </c>
      <c r="O883" s="49">
        <f t="shared" si="600"/>
        <v>0.09671650542362947</v>
      </c>
      <c r="P883" s="49">
        <f t="shared" si="600"/>
        <v>0.09671650542362943</v>
      </c>
      <c r="Q883" s="49">
        <f>P883</f>
        <v>0.09671650542362943</v>
      </c>
      <c r="R883" s="56"/>
      <c r="S883" s="56"/>
      <c r="T883" s="56"/>
      <c r="U883" s="56"/>
      <c r="V883" s="56"/>
      <c r="W883" s="56"/>
      <c r="X883" s="56"/>
      <c r="Y883" s="56"/>
      <c r="Z883" s="56"/>
      <c r="AA883" s="56"/>
      <c r="AB883" s="56"/>
      <c r="AC883" s="56"/>
      <c r="AD883" s="56"/>
      <c r="AE883" s="56"/>
      <c r="AF883" s="56"/>
      <c r="AG883" s="56"/>
      <c r="AH883" s="56"/>
      <c r="AI883" s="56"/>
      <c r="AJ883" s="56"/>
      <c r="AK883" s="56"/>
      <c r="AL883" s="56"/>
      <c r="AM883" s="56"/>
      <c r="AN883" s="56"/>
      <c r="AO883" s="56"/>
    </row>
    <row r="884" spans="1:17" ht="13.5" customHeight="1" hidden="1">
      <c r="A884" s="16"/>
      <c r="C884" s="21" t="s">
        <v>64</v>
      </c>
      <c r="D884" s="12">
        <v>1</v>
      </c>
      <c r="E884" s="12">
        <f>1/(1+D883)</f>
        <v>0.9119604190822264</v>
      </c>
      <c r="F884" s="12">
        <f aca="true" t="shared" si="601" ref="F884:Q884">E884/(1+E883)</f>
        <v>0.8316263954256612</v>
      </c>
      <c r="G884" s="98">
        <f t="shared" si="601"/>
        <v>0.7582749460899225</v>
      </c>
      <c r="H884" s="12">
        <f t="shared" si="601"/>
        <v>0.6914046997013354</v>
      </c>
      <c r="I884" s="12">
        <f t="shared" si="601"/>
        <v>0.6304315621057112</v>
      </c>
      <c r="J884" s="12">
        <f t="shared" si="601"/>
        <v>0.5748354829967603</v>
      </c>
      <c r="K884" s="12">
        <f t="shared" si="601"/>
        <v>0.5241422739185622</v>
      </c>
      <c r="L884" s="12">
        <f t="shared" si="601"/>
        <v>0.47791956383122125</v>
      </c>
      <c r="M884" s="98">
        <f t="shared" si="601"/>
        <v>0.43577311134440794</v>
      </c>
      <c r="N884" s="12">
        <f t="shared" si="601"/>
        <v>0.39734344216519424</v>
      </c>
      <c r="O884" s="12">
        <f t="shared" si="601"/>
        <v>0.36230278308040237</v>
      </c>
      <c r="P884" s="12">
        <f t="shared" si="601"/>
        <v>0.3303522663228775</v>
      </c>
      <c r="Q884" s="12">
        <f t="shared" si="601"/>
        <v>0.3012193804772475</v>
      </c>
    </row>
    <row r="885" spans="1:17" ht="13.5" customHeight="1" hidden="1">
      <c r="A885" s="45"/>
      <c r="B885" s="42"/>
      <c r="C885" s="42" t="s">
        <v>33</v>
      </c>
      <c r="D885" s="42"/>
      <c r="E885" s="23">
        <f>E$43</f>
        <v>285</v>
      </c>
      <c r="F885" s="23">
        <f aca="true" t="shared" si="602" ref="F885:P885">F$43</f>
        <v>149</v>
      </c>
      <c r="G885" s="23">
        <f t="shared" si="602"/>
        <v>458</v>
      </c>
      <c r="H885" s="23">
        <f t="shared" si="602"/>
        <v>490.6500000000001</v>
      </c>
      <c r="I885" s="23">
        <f t="shared" si="602"/>
        <v>500.46299999999985</v>
      </c>
      <c r="J885" s="23">
        <f t="shared" si="602"/>
        <v>510.4722600000002</v>
      </c>
      <c r="K885" s="23">
        <f t="shared" si="602"/>
        <v>520.6817051999999</v>
      </c>
      <c r="L885" s="23">
        <f t="shared" si="602"/>
        <v>531.0953393039996</v>
      </c>
      <c r="M885" s="23">
        <f t="shared" si="602"/>
        <v>541.7172460900803</v>
      </c>
      <c r="N885" s="23">
        <f t="shared" si="602"/>
        <v>552.5515910118818</v>
      </c>
      <c r="O885" s="23">
        <f t="shared" si="602"/>
        <v>563.6026228321198</v>
      </c>
      <c r="P885" s="23">
        <f t="shared" si="602"/>
        <v>574.8746752887611</v>
      </c>
      <c r="Q885" s="1">
        <f>P885*(1+O$5)+P885*(1+O$5)*(1+O$5)/(P883-O$5)</f>
        <v>8382.603356173498</v>
      </c>
    </row>
    <row r="886" spans="1:17" ht="13.5" customHeight="1" hidden="1">
      <c r="A886" s="16"/>
      <c r="C886" s="21" t="s">
        <v>65</v>
      </c>
      <c r="D886" s="1"/>
      <c r="E886" s="1">
        <f aca="true" t="shared" si="603" ref="E886:Q886">E885*E884</f>
        <v>259.9087194384345</v>
      </c>
      <c r="F886" s="1">
        <f t="shared" si="603"/>
        <v>123.91233291842352</v>
      </c>
      <c r="G886" s="29">
        <f t="shared" si="603"/>
        <v>347.2899253091845</v>
      </c>
      <c r="H886" s="1">
        <f t="shared" si="603"/>
        <v>339.2377159084603</v>
      </c>
      <c r="I886" s="1">
        <f t="shared" si="603"/>
        <v>315.50767086611046</v>
      </c>
      <c r="J886" s="1">
        <f t="shared" si="603"/>
        <v>293.4375681335479</v>
      </c>
      <c r="K886" s="1">
        <f t="shared" si="603"/>
        <v>272.91129295132237</v>
      </c>
      <c r="L886" s="1">
        <f t="shared" si="603"/>
        <v>253.82085291296195</v>
      </c>
      <c r="M886" s="29">
        <f t="shared" si="603"/>
        <v>236.06580979759858</v>
      </c>
      <c r="N886" s="1">
        <f t="shared" si="603"/>
        <v>219.5527511465157</v>
      </c>
      <c r="O886" s="1">
        <f t="shared" si="603"/>
        <v>204.19479880349132</v>
      </c>
      <c r="P886" s="1">
        <f t="shared" si="603"/>
        <v>189.91115183327054</v>
      </c>
      <c r="Q886" s="1">
        <f t="shared" si="603"/>
        <v>2525.002589733077</v>
      </c>
    </row>
    <row r="887" spans="1:17" ht="13.5" customHeight="1">
      <c r="A887" s="16"/>
      <c r="B887" s="4" t="s">
        <v>59</v>
      </c>
      <c r="C887" s="42" t="s">
        <v>66</v>
      </c>
      <c r="D887" s="18">
        <f>SUM(E886:$Q886)/D884</f>
        <v>5580.753179752399</v>
      </c>
      <c r="E887" s="18">
        <f>SUM(F886:$Q886)/E884</f>
        <v>5834.512495255798</v>
      </c>
      <c r="F887" s="18">
        <f>SUM(G886:$Q886)/F884</f>
        <v>6249.118782161229</v>
      </c>
      <c r="G887" s="91">
        <f>SUM(H886:$Q886)/G884</f>
        <v>6395.6249999999945</v>
      </c>
      <c r="H887" s="18">
        <f>SUM(I886:$Q886)/H884</f>
        <v>6523.537499999993</v>
      </c>
      <c r="I887" s="18">
        <f>SUM(J886:$Q886)/I884</f>
        <v>6654.008249999994</v>
      </c>
      <c r="J887" s="18">
        <f>SUM(K886:$Q886)/J884</f>
        <v>6787.088414999993</v>
      </c>
      <c r="K887" s="18">
        <f>SUM(L886:$Q886)/K884</f>
        <v>6922.830183299993</v>
      </c>
      <c r="L887" s="18">
        <f>SUM(M886:$Q886)/L884</f>
        <v>7061.286786965993</v>
      </c>
      <c r="M887" s="91">
        <f>SUM(N886:$Q886)/M884</f>
        <v>7202.512522705312</v>
      </c>
      <c r="N887" s="18">
        <f>SUM(O886:$Q886)/N884</f>
        <v>7346.5627731594195</v>
      </c>
      <c r="O887" s="18">
        <f>SUM(P886:$Q886)/O884</f>
        <v>7493.494028622609</v>
      </c>
      <c r="P887" s="18">
        <f>SUM(Q886:$Q886)/P884</f>
        <v>7643.363909195061</v>
      </c>
      <c r="Q887" s="18"/>
    </row>
    <row r="888" spans="1:41" s="65" customFormat="1" ht="12.75" customHeight="1" thickBot="1">
      <c r="A888" s="64"/>
      <c r="B888" s="65" t="s">
        <v>48</v>
      </c>
      <c r="C888" s="77" t="s">
        <v>67</v>
      </c>
      <c r="D888" s="79">
        <f aca="true" t="shared" si="604" ref="D888:P888">D887-D854</f>
        <v>4080.7531797524007</v>
      </c>
      <c r="E888" s="79">
        <f t="shared" si="604"/>
        <v>4334.5124952558</v>
      </c>
      <c r="F888" s="79">
        <f t="shared" si="604"/>
        <v>4749.118782161231</v>
      </c>
      <c r="G888" s="95">
        <f t="shared" si="604"/>
        <v>4895.624999999996</v>
      </c>
      <c r="H888" s="79">
        <f t="shared" si="604"/>
        <v>4993.537499999995</v>
      </c>
      <c r="I888" s="79">
        <f t="shared" si="604"/>
        <v>5093.408249999996</v>
      </c>
      <c r="J888" s="79">
        <f t="shared" si="604"/>
        <v>5195.276414999995</v>
      </c>
      <c r="K888" s="79">
        <f t="shared" si="604"/>
        <v>5299.181943299995</v>
      </c>
      <c r="L888" s="79">
        <f t="shared" si="604"/>
        <v>5405.165582165995</v>
      </c>
      <c r="M888" s="95">
        <f t="shared" si="604"/>
        <v>5513.268893809314</v>
      </c>
      <c r="N888" s="79">
        <f t="shared" si="604"/>
        <v>5623.534271685501</v>
      </c>
      <c r="O888" s="79">
        <f t="shared" si="604"/>
        <v>5736.004957119212</v>
      </c>
      <c r="P888" s="79">
        <f t="shared" si="604"/>
        <v>5850.7250562615955</v>
      </c>
      <c r="Q888" s="108"/>
      <c r="R888" s="69"/>
      <c r="S888" s="69"/>
      <c r="T888" s="69"/>
      <c r="U888" s="69"/>
      <c r="V888" s="69"/>
      <c r="W888" s="69"/>
      <c r="X888" s="69"/>
      <c r="Y888" s="69"/>
      <c r="Z888" s="69"/>
      <c r="AA888" s="69"/>
      <c r="AB888" s="69"/>
      <c r="AC888" s="69"/>
      <c r="AD888" s="69"/>
      <c r="AE888" s="69"/>
      <c r="AF888" s="69"/>
      <c r="AG888" s="69"/>
      <c r="AH888" s="69"/>
      <c r="AI888" s="69"/>
      <c r="AJ888" s="69"/>
      <c r="AK888" s="69"/>
      <c r="AL888" s="69"/>
      <c r="AM888" s="69"/>
      <c r="AN888" s="69"/>
      <c r="AO888" s="69"/>
    </row>
    <row r="889" spans="1:17" ht="7.5" customHeight="1">
      <c r="A889" s="16"/>
      <c r="D889" s="40"/>
      <c r="E889" s="40"/>
      <c r="F889" s="40"/>
      <c r="G889" s="33"/>
      <c r="H889" s="40"/>
      <c r="I889" s="40"/>
      <c r="J889" s="22"/>
      <c r="K889" s="22"/>
      <c r="L889" s="22"/>
      <c r="M889" s="26"/>
      <c r="N889" s="22"/>
      <c r="O889" s="22"/>
      <c r="P889" s="22"/>
      <c r="Q889" s="22"/>
    </row>
    <row r="890" spans="1:17" ht="12.75" customHeight="1">
      <c r="A890" s="16"/>
      <c r="C890" s="73" t="s">
        <v>68</v>
      </c>
      <c r="D890" s="70"/>
      <c r="E890" s="70">
        <f aca="true" t="shared" si="605" ref="E890:P890">E$29-D$14*D868</f>
        <v>143.69092823584978</v>
      </c>
      <c r="F890" s="70">
        <f t="shared" si="605"/>
        <v>309.7582986974401</v>
      </c>
      <c r="G890" s="70">
        <f t="shared" si="605"/>
        <v>314.7524960620571</v>
      </c>
      <c r="H890" s="70">
        <f t="shared" si="605"/>
        <v>324.5403102259673</v>
      </c>
      <c r="I890" s="70">
        <f t="shared" si="605"/>
        <v>331.03111643048624</v>
      </c>
      <c r="J890" s="70">
        <f t="shared" si="605"/>
        <v>337.6517387590962</v>
      </c>
      <c r="K890" s="70">
        <f t="shared" si="605"/>
        <v>344.40477353427787</v>
      </c>
      <c r="L890" s="70">
        <f t="shared" si="605"/>
        <v>351.2928690049636</v>
      </c>
      <c r="M890" s="70">
        <f t="shared" si="605"/>
        <v>358.31872638506286</v>
      </c>
      <c r="N890" s="70">
        <f t="shared" si="605"/>
        <v>365.4851009127641</v>
      </c>
      <c r="O890" s="70">
        <f t="shared" si="605"/>
        <v>372.7948029310193</v>
      </c>
      <c r="P890" s="70">
        <f t="shared" si="605"/>
        <v>380.25069898963994</v>
      </c>
      <c r="Q890" s="1">
        <f>P890*(1+O$5)+P890*(1+O$5)*(1+O$5)/(P868-O$5)</f>
        <v>5221.9304597611435</v>
      </c>
    </row>
    <row r="891" spans="1:41" s="42" customFormat="1" ht="12.75" customHeight="1">
      <c r="A891" s="45"/>
      <c r="C891" s="39" t="s">
        <v>69</v>
      </c>
      <c r="D891" s="18"/>
      <c r="E891" s="18">
        <f aca="true" t="shared" si="606" ref="E891:P891">E$29+E$25*(1-$F$1)-(D$13+D$14)*D875</f>
        <v>94.97409578846853</v>
      </c>
      <c r="F891" s="18">
        <f t="shared" si="606"/>
        <v>260.51769736048834</v>
      </c>
      <c r="G891" s="18">
        <f t="shared" si="606"/>
        <v>268.1176318513518</v>
      </c>
      <c r="H891" s="18">
        <f t="shared" si="606"/>
        <v>278.18667546174174</v>
      </c>
      <c r="I891" s="18">
        <f t="shared" si="606"/>
        <v>283.7504089709758</v>
      </c>
      <c r="J891" s="18">
        <f t="shared" si="606"/>
        <v>289.4254171503958</v>
      </c>
      <c r="K891" s="18">
        <f t="shared" si="606"/>
        <v>295.21392549340345</v>
      </c>
      <c r="L891" s="18">
        <f t="shared" si="606"/>
        <v>301.11820400327167</v>
      </c>
      <c r="M891" s="18">
        <f t="shared" si="606"/>
        <v>307.14056808333714</v>
      </c>
      <c r="N891" s="18">
        <f t="shared" si="606"/>
        <v>313.2833794450038</v>
      </c>
      <c r="O891" s="18">
        <f t="shared" si="606"/>
        <v>319.5490470339038</v>
      </c>
      <c r="P891" s="18">
        <f t="shared" si="606"/>
        <v>325.94002797458216</v>
      </c>
      <c r="Q891" s="36"/>
      <c r="R891" s="69"/>
      <c r="S891" s="69"/>
      <c r="T891" s="69"/>
      <c r="U891" s="69"/>
      <c r="V891" s="69"/>
      <c r="W891" s="69"/>
      <c r="X891" s="69"/>
      <c r="Y891" s="69"/>
      <c r="Z891" s="69"/>
      <c r="AA891" s="69"/>
      <c r="AB891" s="69"/>
      <c r="AC891" s="69"/>
      <c r="AD891" s="69"/>
      <c r="AE891" s="69"/>
      <c r="AF891" s="69"/>
      <c r="AG891" s="69"/>
      <c r="AH891" s="69"/>
      <c r="AI891" s="69"/>
      <c r="AJ891" s="69"/>
      <c r="AK891" s="69"/>
      <c r="AL891" s="69"/>
      <c r="AM891" s="69"/>
      <c r="AN891" s="69"/>
      <c r="AO891" s="69"/>
    </row>
    <row r="892" spans="1:17" ht="12.75" customHeight="1">
      <c r="A892" s="16"/>
      <c r="C892" s="56"/>
      <c r="D892" s="70"/>
      <c r="E892" s="70"/>
      <c r="F892" s="70"/>
      <c r="G892" s="29"/>
      <c r="H892" s="70"/>
      <c r="I892" s="70"/>
      <c r="J892" s="70"/>
      <c r="K892" s="70"/>
      <c r="L892" s="70"/>
      <c r="M892" s="29"/>
      <c r="N892" s="70"/>
      <c r="O892" s="70"/>
      <c r="P892" s="70"/>
      <c r="Q892" s="71"/>
    </row>
    <row r="893" spans="1:17" ht="12.75" customHeight="1" hidden="1">
      <c r="A893" s="16"/>
      <c r="C893" s="21" t="s">
        <v>53</v>
      </c>
      <c r="D893" s="70"/>
      <c r="E893" s="70">
        <f aca="true" t="shared" si="607" ref="E893:P893">E869</f>
        <v>0.9069322918994153</v>
      </c>
      <c r="F893" s="70">
        <f t="shared" si="607"/>
        <v>0.8227316085706189</v>
      </c>
      <c r="G893" s="29">
        <f t="shared" si="607"/>
        <v>0.746566698022967</v>
      </c>
      <c r="H893" s="70">
        <f t="shared" si="607"/>
        <v>0.677564617657189</v>
      </c>
      <c r="I893" s="70">
        <f t="shared" si="607"/>
        <v>0.6149401149511349</v>
      </c>
      <c r="J893" s="70">
        <f t="shared" si="607"/>
        <v>0.5581037367087536</v>
      </c>
      <c r="K893" s="70">
        <f t="shared" si="607"/>
        <v>0.5065205104614534</v>
      </c>
      <c r="L893" s="70">
        <f t="shared" si="607"/>
        <v>0.45970490903919314</v>
      </c>
      <c r="M893" s="29">
        <f t="shared" si="607"/>
        <v>0.41721628054549453</v>
      </c>
      <c r="N893" s="70">
        <f t="shared" si="607"/>
        <v>0.3786547007210143</v>
      </c>
      <c r="O893" s="70">
        <f t="shared" si="607"/>
        <v>0.3436572086560424</v>
      </c>
      <c r="P893" s="70">
        <f t="shared" si="607"/>
        <v>0.3118943904205661</v>
      </c>
      <c r="Q893" s="74">
        <f>P893/(1+$P868)</f>
        <v>0.2830672784553158</v>
      </c>
    </row>
    <row r="894" spans="1:17" ht="12.75" customHeight="1" hidden="1">
      <c r="A894" s="16"/>
      <c r="C894" s="21" t="s">
        <v>70</v>
      </c>
      <c r="D894" s="1"/>
      <c r="E894" s="1">
        <f>E890*E893</f>
        <v>130.31794287009365</v>
      </c>
      <c r="F894" s="1">
        <f aca="true" t="shared" si="608" ref="F894:Q894">F890*F893</f>
        <v>254.84794335544316</v>
      </c>
      <c r="G894" s="29">
        <f t="shared" si="608"/>
        <v>234.9837316795369</v>
      </c>
      <c r="H894" s="1">
        <f t="shared" si="608"/>
        <v>219.89703121260303</v>
      </c>
      <c r="I894" s="1">
        <f t="shared" si="608"/>
        <v>203.56431279016573</v>
      </c>
      <c r="J894" s="1">
        <f t="shared" si="608"/>
        <v>188.44469710765947</v>
      </c>
      <c r="K894" s="1">
        <f t="shared" si="608"/>
        <v>174.44808169594367</v>
      </c>
      <c r="L894" s="1">
        <f t="shared" si="608"/>
        <v>161.491056392044</v>
      </c>
      <c r="M894" s="29">
        <f t="shared" si="608"/>
        <v>149.49640627217468</v>
      </c>
      <c r="N894" s="1">
        <f t="shared" si="608"/>
        <v>138.3926515041124</v>
      </c>
      <c r="O894" s="1">
        <f t="shared" si="608"/>
        <v>128.1136213767535</v>
      </c>
      <c r="P894" s="1">
        <f t="shared" si="608"/>
        <v>118.59805996836792</v>
      </c>
      <c r="Q894" s="1">
        <f t="shared" si="608"/>
        <v>1478.157643527503</v>
      </c>
    </row>
    <row r="895" spans="1:17" ht="12.75" customHeight="1">
      <c r="A895" s="16"/>
      <c r="C895" s="42" t="s">
        <v>71</v>
      </c>
      <c r="D895" s="18">
        <f>SUM(E894:$Q894)/D869</f>
        <v>3580.7531797524016</v>
      </c>
      <c r="E895" s="18">
        <f>SUM(F894:$Q894)/E869</f>
        <v>3804.5124952558017</v>
      </c>
      <c r="F895" s="18">
        <f>SUM(G894:$Q894)/F869</f>
        <v>3884.118782161233</v>
      </c>
      <c r="G895" s="91">
        <f>SUM(H894:$Q894)/G869</f>
        <v>3965.624999999999</v>
      </c>
      <c r="H895" s="18">
        <f>SUM(I894:$Q894)/H869</f>
        <v>4044.9374999999986</v>
      </c>
      <c r="I895" s="18">
        <f>SUM(J894:$Q894)/I869</f>
        <v>4125.836249999999</v>
      </c>
      <c r="J895" s="18">
        <f>SUM(K894:$Q894)/J869</f>
        <v>4208.352974999999</v>
      </c>
      <c r="K895" s="18">
        <f>SUM(L894:$Q894)/K869</f>
        <v>4292.5200345</v>
      </c>
      <c r="L895" s="18">
        <f>SUM(M894:$Q894)/L869</f>
        <v>4378.3704351900005</v>
      </c>
      <c r="M895" s="91">
        <f>SUM(N894:$Q894)/M869</f>
        <v>4465.937843893801</v>
      </c>
      <c r="N895" s="18">
        <f>SUM(O894:$Q894)/N869</f>
        <v>4555.256600771678</v>
      </c>
      <c r="O895" s="18">
        <f>SUM(P894:$Q894)/O869</f>
        <v>4646.361732787112</v>
      </c>
      <c r="P895" s="18">
        <f>SUM(Q894:$Q894)/P869</f>
        <v>4739.288967442854</v>
      </c>
      <c r="Q895" s="71"/>
    </row>
    <row r="896" spans="1:41" s="65" customFormat="1" ht="12.75" customHeight="1" thickBot="1">
      <c r="A896" s="64"/>
      <c r="B896" s="65" t="s">
        <v>72</v>
      </c>
      <c r="C896" s="77" t="s">
        <v>73</v>
      </c>
      <c r="D896" s="79">
        <f aca="true" t="shared" si="609" ref="D896:P896">D895+D$14</f>
        <v>4080.7531797524016</v>
      </c>
      <c r="E896" s="79">
        <f t="shared" si="609"/>
        <v>4334.512495255802</v>
      </c>
      <c r="F896" s="79">
        <f t="shared" si="609"/>
        <v>4749.118782161233</v>
      </c>
      <c r="G896" s="79">
        <f t="shared" si="609"/>
        <v>4895.624999999999</v>
      </c>
      <c r="H896" s="79">
        <f t="shared" si="609"/>
        <v>4993.5374999999985</v>
      </c>
      <c r="I896" s="79">
        <f t="shared" si="609"/>
        <v>5093.4082499999995</v>
      </c>
      <c r="J896" s="79">
        <f t="shared" si="609"/>
        <v>5195.276414999999</v>
      </c>
      <c r="K896" s="79">
        <f t="shared" si="609"/>
        <v>5299.1819433</v>
      </c>
      <c r="L896" s="79">
        <f t="shared" si="609"/>
        <v>5405.165582166001</v>
      </c>
      <c r="M896" s="79">
        <f t="shared" si="609"/>
        <v>5513.2688938093215</v>
      </c>
      <c r="N896" s="79">
        <f t="shared" si="609"/>
        <v>5623.534271685508</v>
      </c>
      <c r="O896" s="79">
        <f t="shared" si="609"/>
        <v>5736.0049571192185</v>
      </c>
      <c r="P896" s="79">
        <f t="shared" si="609"/>
        <v>5850.725056261604</v>
      </c>
      <c r="Q896" s="90"/>
      <c r="R896" s="69"/>
      <c r="S896" s="69"/>
      <c r="T896" s="69"/>
      <c r="U896" s="69"/>
      <c r="V896" s="69"/>
      <c r="W896" s="69"/>
      <c r="X896" s="69"/>
      <c r="Y896" s="69"/>
      <c r="Z896" s="69"/>
      <c r="AA896" s="69"/>
      <c r="AB896" s="69"/>
      <c r="AC896" s="69"/>
      <c r="AD896" s="69"/>
      <c r="AE896" s="69"/>
      <c r="AF896" s="69"/>
      <c r="AG896" s="69"/>
      <c r="AH896" s="69"/>
      <c r="AI896" s="69"/>
      <c r="AJ896" s="69"/>
      <c r="AK896" s="69"/>
      <c r="AL896" s="69"/>
      <c r="AM896" s="69"/>
      <c r="AN896" s="69"/>
      <c r="AO896" s="69"/>
    </row>
    <row r="897" spans="1:17" s="69" customFormat="1" ht="6.75" customHeight="1">
      <c r="A897" s="55"/>
      <c r="C897" s="56"/>
      <c r="D897" s="57"/>
      <c r="E897" s="57"/>
      <c r="F897" s="57"/>
      <c r="G897" s="97"/>
      <c r="H897" s="57"/>
      <c r="I897" s="57"/>
      <c r="J897" s="57"/>
      <c r="K897" s="57"/>
      <c r="L897" s="57"/>
      <c r="M897" s="97"/>
      <c r="N897" s="57"/>
      <c r="O897" s="57"/>
      <c r="P897" s="57"/>
      <c r="Q897" s="71"/>
    </row>
    <row r="898" spans="1:17" s="69" customFormat="1" ht="12" customHeight="1" hidden="1">
      <c r="A898" s="75"/>
      <c r="C898" s="69" t="s">
        <v>69</v>
      </c>
      <c r="D898" s="58"/>
      <c r="E898" s="58">
        <f aca="true" t="shared" si="610" ref="E898:P898">E891</f>
        <v>94.97409578846853</v>
      </c>
      <c r="F898" s="58">
        <f t="shared" si="610"/>
        <v>260.51769736048834</v>
      </c>
      <c r="G898" s="93">
        <f t="shared" si="610"/>
        <v>268.1176318513518</v>
      </c>
      <c r="H898" s="58">
        <f t="shared" si="610"/>
        <v>278.18667546174174</v>
      </c>
      <c r="I898" s="58">
        <f t="shared" si="610"/>
        <v>283.7504089709758</v>
      </c>
      <c r="J898" s="58">
        <f t="shared" si="610"/>
        <v>289.4254171503958</v>
      </c>
      <c r="K898" s="58">
        <f t="shared" si="610"/>
        <v>295.21392549340345</v>
      </c>
      <c r="L898" s="58">
        <f t="shared" si="610"/>
        <v>301.11820400327167</v>
      </c>
      <c r="M898" s="93">
        <f t="shared" si="610"/>
        <v>307.14056808333714</v>
      </c>
      <c r="N898" s="58">
        <f t="shared" si="610"/>
        <v>313.2833794450038</v>
      </c>
      <c r="O898" s="58">
        <f t="shared" si="610"/>
        <v>319.5490470339038</v>
      </c>
      <c r="P898" s="58">
        <f t="shared" si="610"/>
        <v>325.94002797458216</v>
      </c>
      <c r="Q898" s="1">
        <f>P898*(1+O$5)+P898*(1+O$5)*(1+O$5)/(P875-O$5)</f>
        <v>5166.533575325785</v>
      </c>
    </row>
    <row r="899" spans="1:17" ht="12" customHeight="1" hidden="1">
      <c r="A899" s="16"/>
      <c r="C899" s="21" t="s">
        <v>74</v>
      </c>
      <c r="D899" s="1"/>
      <c r="E899" s="1">
        <f>E898*E876</f>
        <v>87.21117191932588</v>
      </c>
      <c r="F899" s="1">
        <f aca="true" t="shared" si="611" ref="F899:Q899">F898*F876</f>
        <v>219.59212201351764</v>
      </c>
      <c r="G899" s="29">
        <f t="shared" si="611"/>
        <v>207.33515627096438</v>
      </c>
      <c r="H899" s="1">
        <f t="shared" si="611"/>
        <v>197.3321426613927</v>
      </c>
      <c r="I899" s="1">
        <f t="shared" si="611"/>
        <v>184.63410982664212</v>
      </c>
      <c r="J899" s="1">
        <f t="shared" si="611"/>
        <v>172.7531767086327</v>
      </c>
      <c r="K899" s="1">
        <f t="shared" si="611"/>
        <v>161.63676414366236</v>
      </c>
      <c r="L899" s="1">
        <f t="shared" si="611"/>
        <v>151.23567635979919</v>
      </c>
      <c r="M899" s="29">
        <f t="shared" si="611"/>
        <v>141.50388326059985</v>
      </c>
      <c r="N899" s="1">
        <f t="shared" si="611"/>
        <v>132.39831671855424</v>
      </c>
      <c r="O899" s="1">
        <f t="shared" si="611"/>
        <v>123.87867997674549</v>
      </c>
      <c r="P899" s="1">
        <f t="shared" si="611"/>
        <v>115.90726931523271</v>
      </c>
      <c r="Q899" s="1">
        <f t="shared" si="611"/>
        <v>1685.3347105773325</v>
      </c>
    </row>
    <row r="900" spans="1:17" ht="12" customHeight="1">
      <c r="A900" s="16"/>
      <c r="C900" s="42" t="s">
        <v>75</v>
      </c>
      <c r="D900" s="18">
        <f>SUM(E899:$Q899)/D876</f>
        <v>3580.7531797524016</v>
      </c>
      <c r="E900" s="18">
        <f>SUM(F899:$Q899)/E876</f>
        <v>3804.512495255802</v>
      </c>
      <c r="F900" s="18">
        <f>SUM(G899:$Q899)/F876</f>
        <v>3884.1187821612334</v>
      </c>
      <c r="G900" s="91">
        <f>SUM(H899:$Q899)/G876</f>
        <v>3965.624999999998</v>
      </c>
      <c r="H900" s="18">
        <f>SUM(I899:$Q899)/H876</f>
        <v>4044.9374999999977</v>
      </c>
      <c r="I900" s="18">
        <f>SUM(J899:$Q899)/I876</f>
        <v>4125.836249999999</v>
      </c>
      <c r="J900" s="18">
        <f>SUM(K899:$Q899)/J876</f>
        <v>4208.352974999999</v>
      </c>
      <c r="K900" s="18">
        <f>SUM(L899:$Q899)/K876</f>
        <v>4292.5200345</v>
      </c>
      <c r="L900" s="18">
        <f>SUM(M899:$Q899)/L876</f>
        <v>4378.37043519</v>
      </c>
      <c r="M900" s="91">
        <f>SUM(N899:$Q899)/M876</f>
        <v>4465.9378438938</v>
      </c>
      <c r="N900" s="18">
        <f>SUM(O899:$Q899)/N876</f>
        <v>4555.256600771677</v>
      </c>
      <c r="O900" s="18">
        <f>SUM(P899:$Q899)/O876</f>
        <v>4646.361732787112</v>
      </c>
      <c r="P900" s="18">
        <f>SUM(Q899:$Q899)/P876</f>
        <v>4739.288967442854</v>
      </c>
      <c r="Q900" s="18"/>
    </row>
    <row r="901" spans="1:41" s="65" customFormat="1" ht="12.75" customHeight="1" thickBot="1">
      <c r="A901" s="64"/>
      <c r="B901" s="65" t="s">
        <v>76</v>
      </c>
      <c r="C901" s="77"/>
      <c r="D901" s="112">
        <f aca="true" t="shared" si="612" ref="D901:P901">D900+D$14-(D$62-D$58)</f>
        <v>4080.7531797524034</v>
      </c>
      <c r="E901" s="112">
        <f t="shared" si="612"/>
        <v>4334.5124952558035</v>
      </c>
      <c r="F901" s="112">
        <f t="shared" si="612"/>
        <v>4749.118782161235</v>
      </c>
      <c r="G901" s="112">
        <f t="shared" si="612"/>
        <v>4895.625</v>
      </c>
      <c r="H901" s="112">
        <f t="shared" si="612"/>
        <v>4993.537499999999</v>
      </c>
      <c r="I901" s="112">
        <f t="shared" si="612"/>
        <v>5093.408250000001</v>
      </c>
      <c r="J901" s="112">
        <f t="shared" si="612"/>
        <v>5195.276415000001</v>
      </c>
      <c r="K901" s="112">
        <f t="shared" si="612"/>
        <v>5299.181943300002</v>
      </c>
      <c r="L901" s="112">
        <f t="shared" si="612"/>
        <v>5405.165582166002</v>
      </c>
      <c r="M901" s="112">
        <f t="shared" si="612"/>
        <v>5513.268893809322</v>
      </c>
      <c r="N901" s="112">
        <f t="shared" si="612"/>
        <v>5623.534271685509</v>
      </c>
      <c r="O901" s="112">
        <f t="shared" si="612"/>
        <v>5736.00495711922</v>
      </c>
      <c r="P901" s="112">
        <f t="shared" si="612"/>
        <v>5850.7250562616055</v>
      </c>
      <c r="Q901" s="90"/>
      <c r="R901" s="69"/>
      <c r="S901" s="69"/>
      <c r="T901" s="69"/>
      <c r="U901" s="69"/>
      <c r="V901" s="69"/>
      <c r="W901" s="69"/>
      <c r="X901" s="69"/>
      <c r="Y901" s="69"/>
      <c r="Z901" s="69"/>
      <c r="AA901" s="69"/>
      <c r="AB901" s="69"/>
      <c r="AC901" s="69"/>
      <c r="AD901" s="69"/>
      <c r="AE901" s="69"/>
      <c r="AF901" s="69"/>
      <c r="AG901" s="69"/>
      <c r="AH901" s="69"/>
      <c r="AI901" s="69"/>
      <c r="AJ901" s="69"/>
      <c r="AK901" s="69"/>
      <c r="AL901" s="69"/>
      <c r="AM901" s="69"/>
      <c r="AN901" s="69"/>
      <c r="AO901" s="69"/>
    </row>
    <row r="902" spans="1:17" s="69" customFormat="1" ht="12.75" customHeight="1">
      <c r="A902"/>
      <c r="C902" s="56"/>
      <c r="D902" s="57"/>
      <c r="E902" s="57"/>
      <c r="F902" s="57"/>
      <c r="G902" s="97"/>
      <c r="H902" s="57"/>
      <c r="I902" s="57"/>
      <c r="J902" s="57"/>
      <c r="K902" s="57"/>
      <c r="L902" s="57"/>
      <c r="M902" s="97"/>
      <c r="N902" s="57"/>
      <c r="O902" s="57"/>
      <c r="P902" s="57"/>
      <c r="Q902" s="71"/>
    </row>
    <row r="903" spans="1:17" ht="12" customHeight="1">
      <c r="A903" s="45"/>
      <c r="B903" s="42"/>
      <c r="C903" s="39" t="s">
        <v>77</v>
      </c>
      <c r="D903" s="42"/>
      <c r="E903" s="59">
        <f aca="true" t="shared" si="613" ref="E903:Q903">E$40-D864*(D868-D$51)</f>
        <v>154.3160024718398</v>
      </c>
      <c r="F903" s="59">
        <f t="shared" si="613"/>
        <v>18.844962620148834</v>
      </c>
      <c r="G903" s="59">
        <f t="shared" si="613"/>
        <v>328.4056603773581</v>
      </c>
      <c r="H903" s="59">
        <f t="shared" si="613"/>
        <v>391.65000000000066</v>
      </c>
      <c r="I903" s="59">
        <f t="shared" si="613"/>
        <v>399.4829999999984</v>
      </c>
      <c r="J903" s="59">
        <f t="shared" si="613"/>
        <v>407.4726599999996</v>
      </c>
      <c r="K903" s="59">
        <f t="shared" si="613"/>
        <v>415.6221131999992</v>
      </c>
      <c r="L903" s="59">
        <f t="shared" si="613"/>
        <v>423.93455546399906</v>
      </c>
      <c r="M903" s="59">
        <f t="shared" si="613"/>
        <v>432.4132465732801</v>
      </c>
      <c r="N903" s="59">
        <f t="shared" si="613"/>
        <v>441.0615115047449</v>
      </c>
      <c r="O903" s="59">
        <f t="shared" si="613"/>
        <v>449.88274173484047</v>
      </c>
      <c r="P903" s="59">
        <f t="shared" si="613"/>
        <v>458.88039656953663</v>
      </c>
      <c r="Q903" s="59">
        <f t="shared" si="613"/>
        <v>468.05800450092744</v>
      </c>
    </row>
    <row r="904" spans="1:41" s="7" customFormat="1" ht="12" customHeight="1">
      <c r="A904" s="45"/>
      <c r="B904" s="39"/>
      <c r="C904" s="39" t="s">
        <v>78</v>
      </c>
      <c r="D904" s="39"/>
      <c r="E904" s="59">
        <f aca="true" t="shared" si="614" ref="E904:Q904">E$41-D879*(D875-D$51)</f>
        <v>304.3160024718398</v>
      </c>
      <c r="F904" s="59">
        <f t="shared" si="614"/>
        <v>168.84496262014883</v>
      </c>
      <c r="G904" s="59">
        <f t="shared" si="614"/>
        <v>478.4056603773581</v>
      </c>
      <c r="H904" s="59">
        <f t="shared" si="614"/>
        <v>511.6500000000006</v>
      </c>
      <c r="I904" s="59">
        <f t="shared" si="614"/>
        <v>521.8829999999982</v>
      </c>
      <c r="J904" s="59">
        <f t="shared" si="614"/>
        <v>532.3206599999997</v>
      </c>
      <c r="K904" s="59">
        <f t="shared" si="614"/>
        <v>542.9670731999992</v>
      </c>
      <c r="L904" s="59">
        <f t="shared" si="614"/>
        <v>553.826414663999</v>
      </c>
      <c r="M904" s="59">
        <f t="shared" si="614"/>
        <v>564.90294295728</v>
      </c>
      <c r="N904" s="59">
        <f t="shared" si="614"/>
        <v>576.2010018164249</v>
      </c>
      <c r="O904" s="59">
        <f t="shared" si="614"/>
        <v>587.7250218527539</v>
      </c>
      <c r="P904" s="59">
        <f t="shared" si="614"/>
        <v>599.4795222898083</v>
      </c>
      <c r="Q904" s="59">
        <f t="shared" si="614"/>
        <v>611.4691127356049</v>
      </c>
      <c r="R904" s="56"/>
      <c r="S904" s="56"/>
      <c r="T904" s="56"/>
      <c r="U904" s="56"/>
      <c r="V904" s="56"/>
      <c r="W904" s="56"/>
      <c r="X904" s="56"/>
      <c r="Y904" s="56"/>
      <c r="Z904" s="56"/>
      <c r="AA904" s="56"/>
      <c r="AB904" s="56"/>
      <c r="AC904" s="56"/>
      <c r="AD904" s="56"/>
      <c r="AE904" s="56"/>
      <c r="AF904" s="56"/>
      <c r="AG904" s="56"/>
      <c r="AH904" s="56"/>
      <c r="AI904" s="56"/>
      <c r="AJ904" s="56"/>
      <c r="AK904" s="56"/>
      <c r="AL904" s="56"/>
      <c r="AM904" s="56"/>
      <c r="AN904" s="56"/>
      <c r="AO904" s="56"/>
    </row>
    <row r="905" spans="1:41" s="7" customFormat="1" ht="12" customHeight="1">
      <c r="A905" s="55"/>
      <c r="B905" s="56"/>
      <c r="C905" s="56"/>
      <c r="D905" s="92"/>
      <c r="E905" s="61"/>
      <c r="F905" s="61"/>
      <c r="G905" s="62"/>
      <c r="H905" s="61"/>
      <c r="I905" s="61"/>
      <c r="J905" s="61"/>
      <c r="K905" s="61"/>
      <c r="L905" s="61"/>
      <c r="M905" s="62"/>
      <c r="N905" s="61"/>
      <c r="O905" s="61"/>
      <c r="P905" s="61"/>
      <c r="Q905" s="61"/>
      <c r="R905" s="56"/>
      <c r="S905" s="56"/>
      <c r="T905" s="56"/>
      <c r="U905" s="56"/>
      <c r="V905" s="56"/>
      <c r="W905" s="56"/>
      <c r="X905" s="56"/>
      <c r="Y905" s="56"/>
      <c r="Z905" s="56"/>
      <c r="AA905" s="56"/>
      <c r="AB905" s="56"/>
      <c r="AC905" s="56"/>
      <c r="AD905" s="56"/>
      <c r="AE905" s="56"/>
      <c r="AF905" s="56"/>
      <c r="AG905" s="56"/>
      <c r="AH905" s="56"/>
      <c r="AI905" s="56"/>
      <c r="AJ905" s="56"/>
      <c r="AK905" s="56"/>
      <c r="AL905" s="56"/>
      <c r="AM905" s="56"/>
      <c r="AN905" s="56"/>
      <c r="AO905" s="56"/>
    </row>
    <row r="906" spans="1:41" s="7" customFormat="1" ht="12" customHeight="1">
      <c r="A906" s="16"/>
      <c r="C906" s="7" t="s">
        <v>36</v>
      </c>
      <c r="D906" s="51">
        <f aca="true" t="shared" si="615" ref="D906:Q906">D$51</f>
        <v>0.1</v>
      </c>
      <c r="E906" s="51">
        <f t="shared" si="615"/>
        <v>0.1</v>
      </c>
      <c r="F906" s="51">
        <f t="shared" si="615"/>
        <v>0.1</v>
      </c>
      <c r="G906" s="51">
        <f t="shared" si="615"/>
        <v>0.1</v>
      </c>
      <c r="H906" s="51">
        <f t="shared" si="615"/>
        <v>0.1</v>
      </c>
      <c r="I906" s="51">
        <f t="shared" si="615"/>
        <v>0.1</v>
      </c>
      <c r="J906" s="51">
        <f t="shared" si="615"/>
        <v>0.1</v>
      </c>
      <c r="K906" s="51">
        <f t="shared" si="615"/>
        <v>0.1</v>
      </c>
      <c r="L906" s="51">
        <f t="shared" si="615"/>
        <v>0.1</v>
      </c>
      <c r="M906" s="51">
        <f t="shared" si="615"/>
        <v>0.1</v>
      </c>
      <c r="N906" s="51">
        <f t="shared" si="615"/>
        <v>0.1</v>
      </c>
      <c r="O906" s="51">
        <f t="shared" si="615"/>
        <v>0.1</v>
      </c>
      <c r="P906" s="51">
        <f t="shared" si="615"/>
        <v>0.1</v>
      </c>
      <c r="Q906" s="51">
        <f t="shared" si="615"/>
        <v>0.1</v>
      </c>
      <c r="R906" s="56"/>
      <c r="S906" s="56"/>
      <c r="T906" s="56"/>
      <c r="U906" s="56"/>
      <c r="V906" s="56"/>
      <c r="W906" s="56"/>
      <c r="X906" s="56"/>
      <c r="Y906" s="56"/>
      <c r="Z906" s="56"/>
      <c r="AA906" s="56"/>
      <c r="AB906" s="56"/>
      <c r="AC906" s="56"/>
      <c r="AD906" s="56"/>
      <c r="AE906" s="56"/>
      <c r="AF906" s="56"/>
      <c r="AG906" s="56"/>
      <c r="AH906" s="56"/>
      <c r="AI906" s="56"/>
      <c r="AJ906" s="56"/>
      <c r="AK906" s="56"/>
      <c r="AL906" s="56"/>
      <c r="AM906" s="56"/>
      <c r="AN906" s="56"/>
      <c r="AO906" s="56"/>
    </row>
    <row r="907" spans="1:17" ht="12" customHeight="1" hidden="1">
      <c r="A907" s="16"/>
      <c r="C907" s="21" t="s">
        <v>53</v>
      </c>
      <c r="D907" s="12">
        <v>1</v>
      </c>
      <c r="E907" s="12">
        <f>1/(1+D906)</f>
        <v>0.9090909090909091</v>
      </c>
      <c r="F907" s="46">
        <f aca="true" t="shared" si="616" ref="F907:Q907">E907/(1+E906)</f>
        <v>0.8264462809917354</v>
      </c>
      <c r="G907" s="96">
        <f t="shared" si="616"/>
        <v>0.7513148009015777</v>
      </c>
      <c r="H907" s="46">
        <f t="shared" si="616"/>
        <v>0.6830134553650705</v>
      </c>
      <c r="I907" s="46">
        <f t="shared" si="616"/>
        <v>0.6209213230591549</v>
      </c>
      <c r="J907" s="46">
        <f t="shared" si="616"/>
        <v>0.5644739300537771</v>
      </c>
      <c r="K907" s="46">
        <f t="shared" si="616"/>
        <v>0.5131581182307065</v>
      </c>
      <c r="L907" s="46">
        <f t="shared" si="616"/>
        <v>0.4665073802097331</v>
      </c>
      <c r="M907" s="96">
        <f t="shared" si="616"/>
        <v>0.4240976183724846</v>
      </c>
      <c r="N907" s="46">
        <f t="shared" si="616"/>
        <v>0.3855432894295314</v>
      </c>
      <c r="O907" s="46">
        <f t="shared" si="616"/>
        <v>0.35049389948139215</v>
      </c>
      <c r="P907" s="46">
        <f t="shared" si="616"/>
        <v>0.31863081771035645</v>
      </c>
      <c r="Q907" s="46">
        <f t="shared" si="616"/>
        <v>0.2896643797366877</v>
      </c>
    </row>
    <row r="908" spans="1:17" ht="12" customHeight="1" hidden="1">
      <c r="A908" s="16"/>
      <c r="B908" s="42"/>
      <c r="C908" s="42" t="s">
        <v>122</v>
      </c>
      <c r="D908" s="42"/>
      <c r="E908" s="23">
        <f aca="true" t="shared" si="617" ref="E908:P908">E903</f>
        <v>154.3160024718398</v>
      </c>
      <c r="F908" s="23">
        <f t="shared" si="617"/>
        <v>18.844962620148834</v>
      </c>
      <c r="G908" s="101">
        <f t="shared" si="617"/>
        <v>328.4056603773581</v>
      </c>
      <c r="H908" s="23">
        <f t="shared" si="617"/>
        <v>391.65000000000066</v>
      </c>
      <c r="I908" s="23">
        <f t="shared" si="617"/>
        <v>399.4829999999984</v>
      </c>
      <c r="J908" s="23">
        <f t="shared" si="617"/>
        <v>407.4726599999996</v>
      </c>
      <c r="K908" s="23">
        <f t="shared" si="617"/>
        <v>415.6221131999992</v>
      </c>
      <c r="L908" s="23">
        <f t="shared" si="617"/>
        <v>423.93455546399906</v>
      </c>
      <c r="M908" s="23">
        <f t="shared" si="617"/>
        <v>432.4132465732801</v>
      </c>
      <c r="N908" s="23">
        <f t="shared" si="617"/>
        <v>441.0615115047449</v>
      </c>
      <c r="O908" s="23">
        <f t="shared" si="617"/>
        <v>449.88274173484047</v>
      </c>
      <c r="P908" s="23">
        <f t="shared" si="617"/>
        <v>458.88039656953663</v>
      </c>
      <c r="Q908" s="1">
        <f>P908*(1+O$5)+P908*(1+O$5)*(1+O$5)/(P906-O$5)</f>
        <v>6435.797561887751</v>
      </c>
    </row>
    <row r="909" spans="1:17" ht="12" customHeight="1" hidden="1">
      <c r="A909" s="16"/>
      <c r="C909" s="21" t="s">
        <v>54</v>
      </c>
      <c r="D909" s="1"/>
      <c r="E909" s="1">
        <f aca="true" t="shared" si="618" ref="E909:Q909">E908*E907</f>
        <v>140.28727497439982</v>
      </c>
      <c r="F909" s="1">
        <f t="shared" si="618"/>
        <v>15.574349272850275</v>
      </c>
      <c r="G909" s="29">
        <f t="shared" si="618"/>
        <v>246.73603334136595</v>
      </c>
      <c r="H909" s="1">
        <f t="shared" si="618"/>
        <v>267.5022197937303</v>
      </c>
      <c r="I909" s="1">
        <f t="shared" si="618"/>
        <v>248.0475128996394</v>
      </c>
      <c r="J909" s="1">
        <f t="shared" si="618"/>
        <v>230.00769377966628</v>
      </c>
      <c r="K909" s="1">
        <f t="shared" si="618"/>
        <v>213.27986150478125</v>
      </c>
      <c r="L909" s="1">
        <f t="shared" si="618"/>
        <v>197.76859884988798</v>
      </c>
      <c r="M909" s="29">
        <f t="shared" si="618"/>
        <v>183.38542802444204</v>
      </c>
      <c r="N909" s="1">
        <f t="shared" si="618"/>
        <v>170.04830598630045</v>
      </c>
      <c r="O909" s="1">
        <f t="shared" si="618"/>
        <v>157.68115646002428</v>
      </c>
      <c r="P909" s="1">
        <f t="shared" si="618"/>
        <v>146.2134359902041</v>
      </c>
      <c r="Q909" s="1">
        <f t="shared" si="618"/>
        <v>1864.2213088751023</v>
      </c>
    </row>
    <row r="910" spans="1:17" ht="12" customHeight="1">
      <c r="A910" s="16"/>
      <c r="C910" s="47" t="s">
        <v>79</v>
      </c>
      <c r="D910" s="38">
        <f>SUM(E909:$Q909)/D907</f>
        <v>4080.7531797523943</v>
      </c>
      <c r="E910" s="38">
        <f>SUM(F909:$Q909)/E907</f>
        <v>4334.512495255794</v>
      </c>
      <c r="F910" s="38">
        <f>SUM(G909:$Q909)/F907</f>
        <v>4749.118782161226</v>
      </c>
      <c r="G910" s="27">
        <f>SUM(H909:$Q909)/G907</f>
        <v>4895.624999999989</v>
      </c>
      <c r="H910" s="38">
        <f>SUM(I909:$Q909)/H907</f>
        <v>4993.5374999999885</v>
      </c>
      <c r="I910" s="38">
        <f>SUM(J909:$Q909)/I907</f>
        <v>5093.4082499999895</v>
      </c>
      <c r="J910" s="38">
        <f>SUM(K909:$Q909)/J907</f>
        <v>5195.27641499999</v>
      </c>
      <c r="K910" s="38">
        <f>SUM(L909:$Q909)/K907</f>
        <v>5299.18194329999</v>
      </c>
      <c r="L910" s="38">
        <f>SUM(M909:$Q909)/L907</f>
        <v>5405.165582165991</v>
      </c>
      <c r="M910" s="27">
        <f>SUM(N909:$Q909)/M907</f>
        <v>5513.26889380931</v>
      </c>
      <c r="N910" s="38">
        <f>SUM(O909:$Q909)/N907</f>
        <v>5623.5342716854975</v>
      </c>
      <c r="O910" s="38">
        <f>SUM(P909:$Q909)/O907</f>
        <v>5736.004957119207</v>
      </c>
      <c r="P910" s="38">
        <f>SUM(Q909:$Q909)/P907</f>
        <v>5850.725056261592</v>
      </c>
      <c r="Q910" s="38"/>
    </row>
    <row r="911" spans="1:16" ht="12.75" customHeight="1">
      <c r="A911" s="16"/>
      <c r="D911" s="41"/>
      <c r="E911" s="41"/>
      <c r="F911" s="41"/>
      <c r="G911" s="146"/>
      <c r="H911" s="41"/>
      <c r="I911" s="41"/>
      <c r="J911" s="41"/>
      <c r="K911" s="41"/>
      <c r="L911" s="41"/>
      <c r="M911" s="31"/>
      <c r="N911" s="41"/>
      <c r="O911" s="41"/>
      <c r="P911" s="41"/>
    </row>
    <row r="912" spans="1:41" s="7" customFormat="1" ht="19.5" customHeight="1" hidden="1">
      <c r="A912" s="16"/>
      <c r="C912" s="7" t="s">
        <v>36</v>
      </c>
      <c r="D912" s="51">
        <f aca="true" t="shared" si="619" ref="D912:Q912">D$51</f>
        <v>0.1</v>
      </c>
      <c r="E912" s="51">
        <f t="shared" si="619"/>
        <v>0.1</v>
      </c>
      <c r="F912" s="51">
        <f t="shared" si="619"/>
        <v>0.1</v>
      </c>
      <c r="G912" s="51">
        <f t="shared" si="619"/>
        <v>0.1</v>
      </c>
      <c r="H912" s="51">
        <f t="shared" si="619"/>
        <v>0.1</v>
      </c>
      <c r="I912" s="51">
        <f t="shared" si="619"/>
        <v>0.1</v>
      </c>
      <c r="J912" s="51">
        <f t="shared" si="619"/>
        <v>0.1</v>
      </c>
      <c r="K912" s="51">
        <f t="shared" si="619"/>
        <v>0.1</v>
      </c>
      <c r="L912" s="51">
        <f t="shared" si="619"/>
        <v>0.1</v>
      </c>
      <c r="M912" s="51">
        <f t="shared" si="619"/>
        <v>0.1</v>
      </c>
      <c r="N912" s="51">
        <f t="shared" si="619"/>
        <v>0.1</v>
      </c>
      <c r="O912" s="51">
        <f t="shared" si="619"/>
        <v>0.1</v>
      </c>
      <c r="P912" s="51">
        <f t="shared" si="619"/>
        <v>0.1</v>
      </c>
      <c r="Q912" s="51">
        <f t="shared" si="619"/>
        <v>0.1</v>
      </c>
      <c r="R912" s="56"/>
      <c r="S912" s="56"/>
      <c r="T912" s="56"/>
      <c r="U912" s="56"/>
      <c r="V912" s="56"/>
      <c r="W912" s="56"/>
      <c r="X912" s="56"/>
      <c r="Y912" s="56"/>
      <c r="Z912" s="56"/>
      <c r="AA912" s="56"/>
      <c r="AB912" s="56"/>
      <c r="AC912" s="56"/>
      <c r="AD912" s="56"/>
      <c r="AE912" s="56"/>
      <c r="AF912" s="56"/>
      <c r="AG912" s="56"/>
      <c r="AH912" s="56"/>
      <c r="AI912" s="56"/>
      <c r="AJ912" s="56"/>
      <c r="AK912" s="56"/>
      <c r="AL912" s="56"/>
      <c r="AM912" s="56"/>
      <c r="AN912" s="56"/>
      <c r="AO912" s="56"/>
    </row>
    <row r="913" spans="1:17" ht="19.5" customHeight="1" hidden="1">
      <c r="A913" s="16"/>
      <c r="C913" s="21" t="s">
        <v>58</v>
      </c>
      <c r="D913" s="12">
        <v>1</v>
      </c>
      <c r="E913" s="12">
        <f>1/(1+D912)</f>
        <v>0.9090909090909091</v>
      </c>
      <c r="F913" s="12">
        <f aca="true" t="shared" si="620" ref="F913:Q913">E913/(1+E912)</f>
        <v>0.8264462809917354</v>
      </c>
      <c r="G913" s="98">
        <f t="shared" si="620"/>
        <v>0.7513148009015777</v>
      </c>
      <c r="H913" s="12">
        <f t="shared" si="620"/>
        <v>0.6830134553650705</v>
      </c>
      <c r="I913" s="12">
        <f t="shared" si="620"/>
        <v>0.6209213230591549</v>
      </c>
      <c r="J913" s="12">
        <f t="shared" si="620"/>
        <v>0.5644739300537771</v>
      </c>
      <c r="K913" s="12">
        <f t="shared" si="620"/>
        <v>0.5131581182307065</v>
      </c>
      <c r="L913" s="12">
        <f t="shared" si="620"/>
        <v>0.4665073802097331</v>
      </c>
      <c r="M913" s="98">
        <f t="shared" si="620"/>
        <v>0.4240976183724846</v>
      </c>
      <c r="N913" s="12">
        <f t="shared" si="620"/>
        <v>0.3855432894295314</v>
      </c>
      <c r="O913" s="12">
        <f t="shared" si="620"/>
        <v>0.35049389948139215</v>
      </c>
      <c r="P913" s="12">
        <f t="shared" si="620"/>
        <v>0.31863081771035645</v>
      </c>
      <c r="Q913" s="12">
        <f t="shared" si="620"/>
        <v>0.2896643797366877</v>
      </c>
    </row>
    <row r="914" spans="1:17" ht="19.5" customHeight="1" hidden="1">
      <c r="A914" s="45"/>
      <c r="B914" s="42"/>
      <c r="C914" s="42" t="s">
        <v>31</v>
      </c>
      <c r="D914" s="42"/>
      <c r="E914" s="42">
        <f aca="true" t="shared" si="621" ref="E914:P914">E904</f>
        <v>304.3160024718398</v>
      </c>
      <c r="F914" s="42">
        <f t="shared" si="621"/>
        <v>168.84496262014883</v>
      </c>
      <c r="G914" s="99">
        <f t="shared" si="621"/>
        <v>478.4056603773581</v>
      </c>
      <c r="H914" s="42">
        <f t="shared" si="621"/>
        <v>511.6500000000006</v>
      </c>
      <c r="I914" s="42">
        <f t="shared" si="621"/>
        <v>521.8829999999982</v>
      </c>
      <c r="J914" s="42">
        <f t="shared" si="621"/>
        <v>532.3206599999997</v>
      </c>
      <c r="K914" s="42">
        <f t="shared" si="621"/>
        <v>542.9670731999992</v>
      </c>
      <c r="L914" s="42">
        <f t="shared" si="621"/>
        <v>553.826414663999</v>
      </c>
      <c r="M914" s="99">
        <f t="shared" si="621"/>
        <v>564.90294295728</v>
      </c>
      <c r="N914" s="42">
        <f t="shared" si="621"/>
        <v>576.2010018164249</v>
      </c>
      <c r="O914" s="42">
        <f t="shared" si="621"/>
        <v>587.7250218527539</v>
      </c>
      <c r="P914" s="42">
        <f t="shared" si="621"/>
        <v>599.4795222898083</v>
      </c>
      <c r="Q914" s="1">
        <f>P914*(1+O$5)+P914*(1+O$5)*(1+O$5)/(P912-O$5)</f>
        <v>8407.70030011456</v>
      </c>
    </row>
    <row r="915" spans="1:17" ht="19.5" customHeight="1" hidden="1">
      <c r="A915" s="16"/>
      <c r="C915" s="21" t="s">
        <v>38</v>
      </c>
      <c r="D915" s="1"/>
      <c r="E915" s="1">
        <f aca="true" t="shared" si="622" ref="E915:Q915">E914*E913</f>
        <v>276.65091133803617</v>
      </c>
      <c r="F915" s="1">
        <f t="shared" si="622"/>
        <v>139.5412914216106</v>
      </c>
      <c r="G915" s="29">
        <f t="shared" si="622"/>
        <v>359.4332534766026</v>
      </c>
      <c r="H915" s="1">
        <f t="shared" si="622"/>
        <v>349.46383443753876</v>
      </c>
      <c r="I915" s="1">
        <f t="shared" si="622"/>
        <v>324.04828284207986</v>
      </c>
      <c r="J915" s="1">
        <f t="shared" si="622"/>
        <v>300.4811349990203</v>
      </c>
      <c r="K915" s="1">
        <f t="shared" si="622"/>
        <v>278.6279615445458</v>
      </c>
      <c r="L915" s="1">
        <f t="shared" si="622"/>
        <v>258.3641097958515</v>
      </c>
      <c r="M915" s="29">
        <f t="shared" si="622"/>
        <v>239.57399271978994</v>
      </c>
      <c r="N915" s="1">
        <f t="shared" si="622"/>
        <v>222.15042961289586</v>
      </c>
      <c r="O915" s="1">
        <f t="shared" si="622"/>
        <v>205.99403473195812</v>
      </c>
      <c r="P915" s="1">
        <f t="shared" si="622"/>
        <v>191.01265038781548</v>
      </c>
      <c r="Q915" s="1">
        <f t="shared" si="622"/>
        <v>2435.411292444647</v>
      </c>
    </row>
    <row r="916" spans="1:17" ht="19.5" customHeight="1">
      <c r="A916" s="16"/>
      <c r="B916" s="4" t="s">
        <v>80</v>
      </c>
      <c r="C916" s="42" t="s">
        <v>81</v>
      </c>
      <c r="D916" s="18">
        <f>SUM(E915:$Q915)/D913</f>
        <v>5580.7531797523925</v>
      </c>
      <c r="E916" s="18">
        <f>SUM(F915:$Q915)/E913</f>
        <v>5834.512495255793</v>
      </c>
      <c r="F916" s="18">
        <f>SUM(G915:$Q915)/F913</f>
        <v>6249.118782161222</v>
      </c>
      <c r="G916" s="91">
        <f>SUM(H915:$Q915)/G913</f>
        <v>6395.624999999986</v>
      </c>
      <c r="H916" s="18">
        <f>SUM(I915:$Q915)/H913</f>
        <v>6523.537499999987</v>
      </c>
      <c r="I916" s="18">
        <f>SUM(J915:$Q915)/I913</f>
        <v>6654.008249999987</v>
      </c>
      <c r="J916" s="18">
        <f>SUM(K915:$Q915)/J913</f>
        <v>6787.088414999987</v>
      </c>
      <c r="K916" s="18">
        <f>SUM(L915:$Q915)/K913</f>
        <v>6922.830183299987</v>
      </c>
      <c r="L916" s="18">
        <f>SUM(M915:$Q915)/L913</f>
        <v>7061.2867869659885</v>
      </c>
      <c r="M916" s="91">
        <f>SUM(N915:$Q915)/M913</f>
        <v>7202.512522705307</v>
      </c>
      <c r="N916" s="18">
        <f>SUM(O915:$Q915)/N913</f>
        <v>7346.562773159413</v>
      </c>
      <c r="O916" s="18">
        <f>SUM(P915:$Q915)/O913</f>
        <v>7493.494028622602</v>
      </c>
      <c r="P916" s="18">
        <f>SUM(Q915:$Q915)/P913</f>
        <v>7643.363909195055</v>
      </c>
      <c r="Q916" s="18"/>
    </row>
    <row r="917" spans="1:17" ht="12.75" customHeight="1">
      <c r="A917" s="16"/>
      <c r="B917" s="4" t="s">
        <v>48</v>
      </c>
      <c r="C917" s="39" t="s">
        <v>82</v>
      </c>
      <c r="D917" s="38">
        <f aca="true" t="shared" si="623" ref="D917:P917">D916-D$62</f>
        <v>4080.7531797523943</v>
      </c>
      <c r="E917" s="38">
        <f t="shared" si="623"/>
        <v>4334.512495255794</v>
      </c>
      <c r="F917" s="38">
        <f t="shared" si="623"/>
        <v>4749.118782161224</v>
      </c>
      <c r="G917" s="38">
        <f t="shared" si="623"/>
        <v>4895.624999999988</v>
      </c>
      <c r="H917" s="38">
        <f t="shared" si="623"/>
        <v>4993.5374999999885</v>
      </c>
      <c r="I917" s="38">
        <f t="shared" si="623"/>
        <v>5093.408249999989</v>
      </c>
      <c r="J917" s="38">
        <f t="shared" si="623"/>
        <v>5195.276414999989</v>
      </c>
      <c r="K917" s="38">
        <f t="shared" si="623"/>
        <v>5299.181943299989</v>
      </c>
      <c r="L917" s="38">
        <f t="shared" si="623"/>
        <v>5405.165582165991</v>
      </c>
      <c r="M917" s="38">
        <f t="shared" si="623"/>
        <v>5513.268893809309</v>
      </c>
      <c r="N917" s="38">
        <f t="shared" si="623"/>
        <v>5623.534271685495</v>
      </c>
      <c r="O917" s="38">
        <f t="shared" si="623"/>
        <v>5736.004957119205</v>
      </c>
      <c r="P917" s="38">
        <f t="shared" si="623"/>
        <v>5850.72505626159</v>
      </c>
      <c r="Q917" s="20"/>
    </row>
    <row r="918" spans="1:17" ht="12.75" customHeight="1">
      <c r="A918" s="16"/>
      <c r="C918" s="56"/>
      <c r="D918" s="57"/>
      <c r="E918" s="57"/>
      <c r="F918" s="116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88"/>
    </row>
    <row r="919" spans="1:41" s="7" customFormat="1" ht="12" customHeight="1">
      <c r="A919" s="45"/>
      <c r="B919" s="39"/>
      <c r="C919" s="39" t="s">
        <v>87</v>
      </c>
      <c r="D919" s="39"/>
      <c r="E919" s="59">
        <f aca="true" t="shared" si="624" ref="E919:Q919">E$41-D916*(D875-D$49)</f>
        <v>81.085875281744</v>
      </c>
      <c r="F919" s="59">
        <f t="shared" si="624"/>
        <v>-64.535537190083</v>
      </c>
      <c r="G919" s="59">
        <f t="shared" si="624"/>
        <v>228.4409090909091</v>
      </c>
      <c r="H919" s="59">
        <f t="shared" si="624"/>
        <v>255.82500000000107</v>
      </c>
      <c r="I919" s="59">
        <f t="shared" si="624"/>
        <v>260.94149999999854</v>
      </c>
      <c r="J919" s="59">
        <f t="shared" si="624"/>
        <v>266.16033000000016</v>
      </c>
      <c r="K919" s="59">
        <f t="shared" si="624"/>
        <v>271.4835365999995</v>
      </c>
      <c r="L919" s="59">
        <f t="shared" si="624"/>
        <v>276.9132073319994</v>
      </c>
      <c r="M919" s="59">
        <f t="shared" si="624"/>
        <v>282.4514714786403</v>
      </c>
      <c r="N919" s="59">
        <f t="shared" si="624"/>
        <v>288.1005009082125</v>
      </c>
      <c r="O919" s="59">
        <f t="shared" si="624"/>
        <v>293.86251092637724</v>
      </c>
      <c r="P919" s="59">
        <f t="shared" si="624"/>
        <v>299.73976114490415</v>
      </c>
      <c r="Q919" s="59">
        <f t="shared" si="624"/>
        <v>305.73455636780255</v>
      </c>
      <c r="R919" s="56"/>
      <c r="S919" s="56"/>
      <c r="T919" s="56"/>
      <c r="U919" s="56"/>
      <c r="V919" s="56"/>
      <c r="W919" s="56"/>
      <c r="X919" s="56"/>
      <c r="Y919" s="56"/>
      <c r="Z919" s="56"/>
      <c r="AA919" s="56"/>
      <c r="AB919" s="56"/>
      <c r="AC919" s="56"/>
      <c r="AD919" s="56"/>
      <c r="AE919" s="56"/>
      <c r="AF919" s="56"/>
      <c r="AG919" s="56"/>
      <c r="AH919" s="56"/>
      <c r="AI919" s="56"/>
      <c r="AJ919" s="56"/>
      <c r="AK919" s="56"/>
      <c r="AL919" s="56"/>
      <c r="AM919" s="56"/>
      <c r="AN919" s="56"/>
      <c r="AO919" s="56"/>
    </row>
    <row r="920" spans="1:17" ht="12" customHeight="1">
      <c r="A920" s="45"/>
      <c r="B920" s="42"/>
      <c r="C920" s="39" t="s">
        <v>86</v>
      </c>
      <c r="D920" s="42"/>
      <c r="E920" s="59">
        <f aca="true" t="shared" si="625" ref="E920:Q920">E$40-D917*(D868-D$49)</f>
        <v>-8.914124718256005</v>
      </c>
      <c r="F920" s="59">
        <f t="shared" si="625"/>
        <v>-154.53553719008298</v>
      </c>
      <c r="G920" s="59">
        <f t="shared" si="625"/>
        <v>138.44090909090914</v>
      </c>
      <c r="H920" s="59">
        <f t="shared" si="625"/>
        <v>195.82500000000113</v>
      </c>
      <c r="I920" s="59">
        <f t="shared" si="625"/>
        <v>199.74149999999884</v>
      </c>
      <c r="J920" s="59">
        <f t="shared" si="625"/>
        <v>203.73633000000007</v>
      </c>
      <c r="K920" s="59">
        <f t="shared" si="625"/>
        <v>207.81105659999963</v>
      </c>
      <c r="L920" s="59">
        <f t="shared" si="625"/>
        <v>211.96727773199947</v>
      </c>
      <c r="M920" s="59">
        <f t="shared" si="625"/>
        <v>216.20662328664045</v>
      </c>
      <c r="N920" s="59">
        <f t="shared" si="625"/>
        <v>220.53075575237247</v>
      </c>
      <c r="O920" s="59">
        <f t="shared" si="625"/>
        <v>224.94137086742066</v>
      </c>
      <c r="P920" s="59">
        <f t="shared" si="625"/>
        <v>229.44019828476843</v>
      </c>
      <c r="Q920" s="59">
        <f t="shared" si="625"/>
        <v>234.02900225046383</v>
      </c>
    </row>
    <row r="921" spans="1:16" ht="14.25" customHeight="1">
      <c r="A921" s="16"/>
      <c r="B921" s="104"/>
      <c r="C921" s="92"/>
      <c r="D921" s="105"/>
      <c r="E921" s="105"/>
      <c r="F921" s="105"/>
      <c r="G921" s="50"/>
      <c r="H921" s="105"/>
      <c r="I921" s="105"/>
      <c r="J921" s="43"/>
      <c r="K921" s="43"/>
      <c r="L921" s="43"/>
      <c r="M921" s="102"/>
      <c r="N921" s="43"/>
      <c r="O921" s="43"/>
      <c r="P921" s="43"/>
    </row>
    <row r="922" spans="1:17" ht="14.25" customHeight="1" hidden="1">
      <c r="A922" s="16"/>
      <c r="B922" s="104"/>
      <c r="C922" s="4" t="s">
        <v>2</v>
      </c>
      <c r="D922" s="105">
        <f aca="true" t="shared" si="626" ref="D922:P922">D$49</f>
        <v>0.06</v>
      </c>
      <c r="E922" s="105">
        <f t="shared" si="626"/>
        <v>0.06</v>
      </c>
      <c r="F922" s="105">
        <f t="shared" si="626"/>
        <v>0.06</v>
      </c>
      <c r="G922" s="105">
        <f t="shared" si="626"/>
        <v>0.06</v>
      </c>
      <c r="H922" s="105">
        <f t="shared" si="626"/>
        <v>0.06</v>
      </c>
      <c r="I922" s="105">
        <f t="shared" si="626"/>
        <v>0.06</v>
      </c>
      <c r="J922" s="105">
        <f t="shared" si="626"/>
        <v>0.06</v>
      </c>
      <c r="K922" s="105">
        <f t="shared" si="626"/>
        <v>0.06</v>
      </c>
      <c r="L922" s="105">
        <f t="shared" si="626"/>
        <v>0.06</v>
      </c>
      <c r="M922" s="105">
        <f t="shared" si="626"/>
        <v>0.06</v>
      </c>
      <c r="N922" s="105">
        <f t="shared" si="626"/>
        <v>0.06</v>
      </c>
      <c r="O922" s="105">
        <f t="shared" si="626"/>
        <v>0.06</v>
      </c>
      <c r="P922" s="105">
        <f t="shared" si="626"/>
        <v>0.06</v>
      </c>
      <c r="Q922" s="49">
        <f>P922</f>
        <v>0.06</v>
      </c>
    </row>
    <row r="923" spans="1:17" ht="14.25" customHeight="1" hidden="1">
      <c r="A923" s="16"/>
      <c r="C923" s="158" t="s">
        <v>91</v>
      </c>
      <c r="D923" s="12">
        <v>1</v>
      </c>
      <c r="E923" s="12">
        <f>1/(1+D922)</f>
        <v>0.9433962264150942</v>
      </c>
      <c r="F923" s="12">
        <f aca="true" t="shared" si="627" ref="F923:Q923">E923/(1+E922)</f>
        <v>0.8899964400142398</v>
      </c>
      <c r="G923" s="98">
        <f t="shared" si="627"/>
        <v>0.8396192830323017</v>
      </c>
      <c r="H923" s="12">
        <f t="shared" si="627"/>
        <v>0.7920936632380204</v>
      </c>
      <c r="I923" s="12">
        <f t="shared" si="627"/>
        <v>0.747258172866057</v>
      </c>
      <c r="J923" s="12">
        <f t="shared" si="627"/>
        <v>0.7049605404396764</v>
      </c>
      <c r="K923" s="12">
        <f t="shared" si="627"/>
        <v>0.6650571136223362</v>
      </c>
      <c r="L923" s="12">
        <f t="shared" si="627"/>
        <v>0.6274123713418266</v>
      </c>
      <c r="M923" s="98">
        <f t="shared" si="627"/>
        <v>0.5918984635300251</v>
      </c>
      <c r="N923" s="12">
        <f t="shared" si="627"/>
        <v>0.558394776915118</v>
      </c>
      <c r="O923" s="12">
        <f t="shared" si="627"/>
        <v>0.5267875253916207</v>
      </c>
      <c r="P923" s="12">
        <f t="shared" si="627"/>
        <v>0.4969693635770006</v>
      </c>
      <c r="Q923" s="12">
        <f t="shared" si="627"/>
        <v>0.4688390222424534</v>
      </c>
    </row>
    <row r="924" spans="1:17" ht="14.25" customHeight="1" hidden="1">
      <c r="A924" s="45"/>
      <c r="B924" s="42"/>
      <c r="C924" s="39" t="s">
        <v>87</v>
      </c>
      <c r="D924" s="42"/>
      <c r="E924" s="23">
        <f>E919</f>
        <v>81.085875281744</v>
      </c>
      <c r="F924" s="23">
        <f aca="true" t="shared" si="628" ref="F924:P924">F919</f>
        <v>-64.535537190083</v>
      </c>
      <c r="G924" s="23">
        <f t="shared" si="628"/>
        <v>228.4409090909091</v>
      </c>
      <c r="H924" s="23">
        <f t="shared" si="628"/>
        <v>255.82500000000107</v>
      </c>
      <c r="I924" s="23">
        <f t="shared" si="628"/>
        <v>260.94149999999854</v>
      </c>
      <c r="J924" s="23">
        <f t="shared" si="628"/>
        <v>266.16033000000016</v>
      </c>
      <c r="K924" s="23">
        <f t="shared" si="628"/>
        <v>271.4835365999995</v>
      </c>
      <c r="L924" s="23">
        <f t="shared" si="628"/>
        <v>276.9132073319994</v>
      </c>
      <c r="M924" s="23">
        <f t="shared" si="628"/>
        <v>282.4514714786403</v>
      </c>
      <c r="N924" s="23">
        <f t="shared" si="628"/>
        <v>288.1005009082125</v>
      </c>
      <c r="O924" s="23">
        <f t="shared" si="628"/>
        <v>293.86251092637724</v>
      </c>
      <c r="P924" s="23">
        <f t="shared" si="628"/>
        <v>299.73976114490415</v>
      </c>
      <c r="Q924" s="1">
        <f>P924*(1+O$5)+P924*(1+O$5)*(1+O$5)/(P922-O$5)</f>
        <v>8101.965743746759</v>
      </c>
    </row>
    <row r="925" spans="1:17" ht="14.25" customHeight="1" hidden="1">
      <c r="A925" s="16"/>
      <c r="C925" s="21" t="s">
        <v>38</v>
      </c>
      <c r="D925" s="1"/>
      <c r="E925" s="1">
        <f aca="true" t="shared" si="629" ref="E925:Q925">E924*E923</f>
        <v>76.49610875636225</v>
      </c>
      <c r="F925" s="1">
        <f t="shared" si="629"/>
        <v>-57.43639835358045</v>
      </c>
      <c r="G925" s="29">
        <f t="shared" si="629"/>
        <v>191.8033923061563</v>
      </c>
      <c r="H925" s="1">
        <f t="shared" si="629"/>
        <v>202.63736139786744</v>
      </c>
      <c r="I925" s="1">
        <f t="shared" si="629"/>
        <v>194.99066851492714</v>
      </c>
      <c r="J925" s="1">
        <f t="shared" si="629"/>
        <v>187.63253008040272</v>
      </c>
      <c r="K925" s="1">
        <f t="shared" si="629"/>
        <v>180.55205724717956</v>
      </c>
      <c r="L925" s="1">
        <f t="shared" si="629"/>
        <v>173.73877206804062</v>
      </c>
      <c r="M925" s="29">
        <f t="shared" si="629"/>
        <v>167.1825919900019</v>
      </c>
      <c r="N925" s="1">
        <f t="shared" si="629"/>
        <v>160.87381493377507</v>
      </c>
      <c r="O925" s="1">
        <f t="shared" si="629"/>
        <v>154.80310493627437</v>
      </c>
      <c r="P925" s="1">
        <f t="shared" si="629"/>
        <v>148.9614783349052</v>
      </c>
      <c r="Q925" s="1">
        <f t="shared" si="629"/>
        <v>3798.517697540082</v>
      </c>
    </row>
    <row r="926" spans="1:16" ht="14.25" customHeight="1">
      <c r="A926" s="16"/>
      <c r="B926" s="157" t="s">
        <v>89</v>
      </c>
      <c r="C926" s="156" t="s">
        <v>88</v>
      </c>
      <c r="D926" s="18">
        <f>SUM(E925:$Q925)/D923</f>
        <v>5580.753179752393</v>
      </c>
      <c r="E926" s="18">
        <f>SUM(F925:$Q925)/E923</f>
        <v>5834.512495255794</v>
      </c>
      <c r="F926" s="18">
        <f>SUM(G925:$Q925)/F923</f>
        <v>6249.118782161225</v>
      </c>
      <c r="G926" s="91">
        <f>SUM(H925:$Q925)/G923</f>
        <v>6395.624999999989</v>
      </c>
      <c r="H926" s="18">
        <f>SUM(I925:$Q925)/H923</f>
        <v>6523.5374999999885</v>
      </c>
      <c r="I926" s="18">
        <f>SUM(J925:$Q925)/I923</f>
        <v>6654.00824999999</v>
      </c>
      <c r="J926" s="18">
        <f>SUM(K925:$Q925)/J923</f>
        <v>6787.088414999989</v>
      </c>
      <c r="K926" s="18">
        <f>SUM(L925:$Q925)/K923</f>
        <v>6922.830183299989</v>
      </c>
      <c r="L926" s="18">
        <f>SUM(M925:$Q925)/L923</f>
        <v>7061.2867869659885</v>
      </c>
      <c r="M926" s="91">
        <f>SUM(N925:$Q925)/M923</f>
        <v>7202.512522705308</v>
      </c>
      <c r="N926" s="18">
        <f>SUM(O925:$Q925)/N923</f>
        <v>7346.562773159414</v>
      </c>
      <c r="O926" s="18">
        <f>SUM(P925:$Q925)/O923</f>
        <v>7493.494028622603</v>
      </c>
      <c r="P926" s="18">
        <f>SUM(Q925:$Q925)/P923</f>
        <v>7643.3639091950545</v>
      </c>
    </row>
    <row r="927" spans="1:16" ht="14.25" customHeight="1">
      <c r="A927" s="16"/>
      <c r="B927" s="4" t="s">
        <v>48</v>
      </c>
      <c r="C927" s="39" t="s">
        <v>90</v>
      </c>
      <c r="D927" s="38">
        <f aca="true" t="shared" si="630" ref="D927:P927">D926-D$62</f>
        <v>4080.753179752395</v>
      </c>
      <c r="E927" s="38">
        <f t="shared" si="630"/>
        <v>4334.512495255796</v>
      </c>
      <c r="F927" s="38">
        <f t="shared" si="630"/>
        <v>4749.118782161227</v>
      </c>
      <c r="G927" s="38">
        <f t="shared" si="630"/>
        <v>4895.624999999991</v>
      </c>
      <c r="H927" s="38">
        <f t="shared" si="630"/>
        <v>4993.53749999999</v>
      </c>
      <c r="I927" s="38">
        <f t="shared" si="630"/>
        <v>5093.408249999991</v>
      </c>
      <c r="J927" s="38">
        <f t="shared" si="630"/>
        <v>5195.276414999991</v>
      </c>
      <c r="K927" s="38">
        <f t="shared" si="630"/>
        <v>5299.181943299991</v>
      </c>
      <c r="L927" s="38">
        <f t="shared" si="630"/>
        <v>5405.165582165991</v>
      </c>
      <c r="M927" s="38">
        <f t="shared" si="630"/>
        <v>5513.268893809309</v>
      </c>
      <c r="N927" s="38">
        <f t="shared" si="630"/>
        <v>5623.534271685496</v>
      </c>
      <c r="O927" s="38">
        <f t="shared" si="630"/>
        <v>5736.004957119206</v>
      </c>
      <c r="P927" s="38">
        <f t="shared" si="630"/>
        <v>5850.72505626159</v>
      </c>
    </row>
    <row r="928" spans="1:16" ht="14.25" customHeight="1">
      <c r="A928" s="16"/>
      <c r="B928" s="104"/>
      <c r="C928" s="92"/>
      <c r="D928" s="105"/>
      <c r="E928" s="105"/>
      <c r="F928" s="105"/>
      <c r="G928" s="50"/>
      <c r="H928" s="105"/>
      <c r="I928" s="105"/>
      <c r="J928" s="43"/>
      <c r="K928" s="43"/>
      <c r="L928" s="43"/>
      <c r="M928" s="102"/>
      <c r="N928" s="43"/>
      <c r="O928" s="43"/>
      <c r="P928" s="43"/>
    </row>
    <row r="929" spans="1:17" ht="14.25" customHeight="1" hidden="1">
      <c r="A929" s="16"/>
      <c r="B929" s="104"/>
      <c r="C929" s="4" t="s">
        <v>2</v>
      </c>
      <c r="D929" s="105">
        <f aca="true" t="shared" si="631" ref="D929:P929">D$49</f>
        <v>0.06</v>
      </c>
      <c r="E929" s="105">
        <f t="shared" si="631"/>
        <v>0.06</v>
      </c>
      <c r="F929" s="105">
        <f t="shared" si="631"/>
        <v>0.06</v>
      </c>
      <c r="G929" s="105">
        <f t="shared" si="631"/>
        <v>0.06</v>
      </c>
      <c r="H929" s="105">
        <f t="shared" si="631"/>
        <v>0.06</v>
      </c>
      <c r="I929" s="105">
        <f t="shared" si="631"/>
        <v>0.06</v>
      </c>
      <c r="J929" s="105">
        <f t="shared" si="631"/>
        <v>0.06</v>
      </c>
      <c r="K929" s="105">
        <f t="shared" si="631"/>
        <v>0.06</v>
      </c>
      <c r="L929" s="105">
        <f t="shared" si="631"/>
        <v>0.06</v>
      </c>
      <c r="M929" s="105">
        <f t="shared" si="631"/>
        <v>0.06</v>
      </c>
      <c r="N929" s="105">
        <f t="shared" si="631"/>
        <v>0.06</v>
      </c>
      <c r="O929" s="105">
        <f t="shared" si="631"/>
        <v>0.06</v>
      </c>
      <c r="P929" s="105">
        <f t="shared" si="631"/>
        <v>0.06</v>
      </c>
      <c r="Q929" s="49">
        <f>P929</f>
        <v>0.06</v>
      </c>
    </row>
    <row r="930" spans="1:17" ht="14.25" customHeight="1" hidden="1">
      <c r="A930" s="16"/>
      <c r="C930" s="158" t="s">
        <v>91</v>
      </c>
      <c r="D930" s="12">
        <v>1</v>
      </c>
      <c r="E930" s="12">
        <f>1/(1+D929)</f>
        <v>0.9433962264150942</v>
      </c>
      <c r="F930" s="12">
        <f aca="true" t="shared" si="632" ref="F930:Q930">E930/(1+E929)</f>
        <v>0.8899964400142398</v>
      </c>
      <c r="G930" s="98">
        <f t="shared" si="632"/>
        <v>0.8396192830323017</v>
      </c>
      <c r="H930" s="12">
        <f t="shared" si="632"/>
        <v>0.7920936632380204</v>
      </c>
      <c r="I930" s="12">
        <f t="shared" si="632"/>
        <v>0.747258172866057</v>
      </c>
      <c r="J930" s="12">
        <f t="shared" si="632"/>
        <v>0.7049605404396764</v>
      </c>
      <c r="K930" s="12">
        <f t="shared" si="632"/>
        <v>0.6650571136223362</v>
      </c>
      <c r="L930" s="12">
        <f t="shared" si="632"/>
        <v>0.6274123713418266</v>
      </c>
      <c r="M930" s="98">
        <f t="shared" si="632"/>
        <v>0.5918984635300251</v>
      </c>
      <c r="N930" s="12">
        <f t="shared" si="632"/>
        <v>0.558394776915118</v>
      </c>
      <c r="O930" s="12">
        <f t="shared" si="632"/>
        <v>0.5267875253916207</v>
      </c>
      <c r="P930" s="12">
        <f t="shared" si="632"/>
        <v>0.4969693635770006</v>
      </c>
      <c r="Q930" s="12">
        <f t="shared" si="632"/>
        <v>0.4688390222424534</v>
      </c>
    </row>
    <row r="931" spans="1:17" ht="14.25" customHeight="1" hidden="1">
      <c r="A931" s="45"/>
      <c r="B931" s="42"/>
      <c r="C931" s="39" t="s">
        <v>86</v>
      </c>
      <c r="D931" s="42"/>
      <c r="E931" s="23">
        <f>E920</f>
        <v>-8.914124718256005</v>
      </c>
      <c r="F931" s="23">
        <f aca="true" t="shared" si="633" ref="F931:P931">F920</f>
        <v>-154.53553719008298</v>
      </c>
      <c r="G931" s="23">
        <f t="shared" si="633"/>
        <v>138.44090909090914</v>
      </c>
      <c r="H931" s="23">
        <f t="shared" si="633"/>
        <v>195.82500000000113</v>
      </c>
      <c r="I931" s="23">
        <f t="shared" si="633"/>
        <v>199.74149999999884</v>
      </c>
      <c r="J931" s="23">
        <f t="shared" si="633"/>
        <v>203.73633000000007</v>
      </c>
      <c r="K931" s="23">
        <f t="shared" si="633"/>
        <v>207.81105659999963</v>
      </c>
      <c r="L931" s="23">
        <f t="shared" si="633"/>
        <v>211.96727773199947</v>
      </c>
      <c r="M931" s="23">
        <f t="shared" si="633"/>
        <v>216.20662328664045</v>
      </c>
      <c r="N931" s="23">
        <f t="shared" si="633"/>
        <v>220.53075575237247</v>
      </c>
      <c r="O931" s="23">
        <f t="shared" si="633"/>
        <v>224.94137086742066</v>
      </c>
      <c r="P931" s="23">
        <f t="shared" si="633"/>
        <v>229.44019828476843</v>
      </c>
      <c r="Q931" s="1">
        <f>P931*(1+O$5)+P931*(1+O$5)*(1+O$5)/(P929-O$5)</f>
        <v>6201.768559637292</v>
      </c>
    </row>
    <row r="932" spans="1:17" ht="14.25" customHeight="1" hidden="1">
      <c r="A932" s="16"/>
      <c r="C932" s="158" t="s">
        <v>54</v>
      </c>
      <c r="D932" s="1"/>
      <c r="E932" s="1">
        <f aca="true" t="shared" si="634" ref="E932:Q932">E931*E930</f>
        <v>-8.40955162099623</v>
      </c>
      <c r="F932" s="1">
        <f t="shared" si="634"/>
        <v>-137.536077954862</v>
      </c>
      <c r="G932" s="29">
        <f t="shared" si="634"/>
        <v>116.23765683324919</v>
      </c>
      <c r="H932" s="1">
        <f t="shared" si="634"/>
        <v>155.11174160358624</v>
      </c>
      <c r="I932" s="1">
        <f t="shared" si="634"/>
        <v>149.25846833552467</v>
      </c>
      <c r="J932" s="1">
        <f t="shared" si="634"/>
        <v>143.6260733039963</v>
      </c>
      <c r="K932" s="1">
        <f t="shared" si="634"/>
        <v>138.2062214812037</v>
      </c>
      <c r="L932" s="1">
        <f t="shared" si="634"/>
        <v>132.99089236870535</v>
      </c>
      <c r="M932" s="29">
        <f t="shared" si="634"/>
        <v>127.97236812837743</v>
      </c>
      <c r="N932" s="1">
        <f t="shared" si="634"/>
        <v>123.1432221612684</v>
      </c>
      <c r="O932" s="1">
        <f t="shared" si="634"/>
        <v>118.49630811744731</v>
      </c>
      <c r="P932" s="1">
        <f t="shared" si="634"/>
        <v>114.0247493205622</v>
      </c>
      <c r="Q932" s="1">
        <f t="shared" si="634"/>
        <v>2907.6311076743364</v>
      </c>
    </row>
    <row r="933" spans="1:16" ht="14.25" customHeight="1">
      <c r="A933" s="16"/>
      <c r="B933" s="157"/>
      <c r="C933" s="156" t="s">
        <v>92</v>
      </c>
      <c r="D933" s="52">
        <f>SUM(E932:$Q932)/D930</f>
        <v>4080.753179752399</v>
      </c>
      <c r="E933" s="52">
        <f>SUM(F932:$Q932)/E930</f>
        <v>4334.512495255799</v>
      </c>
      <c r="F933" s="52">
        <f>SUM(G932:$Q932)/F930</f>
        <v>4749.11878216123</v>
      </c>
      <c r="G933" s="159">
        <f>SUM(H932:$Q932)/G930</f>
        <v>4895.6249999999945</v>
      </c>
      <c r="H933" s="52">
        <f>SUM(I932:$Q932)/H930</f>
        <v>4993.537499999994</v>
      </c>
      <c r="I933" s="52">
        <f>SUM(J932:$Q932)/I930</f>
        <v>5093.408249999995</v>
      </c>
      <c r="J933" s="52">
        <f>SUM(K932:$Q932)/J930</f>
        <v>5195.276414999995</v>
      </c>
      <c r="K933" s="52">
        <f>SUM(L932:$Q932)/K930</f>
        <v>5299.1819432999955</v>
      </c>
      <c r="L933" s="52">
        <f>SUM(M932:$Q932)/L930</f>
        <v>5405.165582165995</v>
      </c>
      <c r="M933" s="159">
        <f>SUM(N932:$Q932)/M930</f>
        <v>5513.268893809315</v>
      </c>
      <c r="N933" s="52">
        <f>SUM(O932:$Q932)/N930</f>
        <v>5623.534271685501</v>
      </c>
      <c r="O933" s="52">
        <f>SUM(P932:$Q932)/O930</f>
        <v>5736.004957119211</v>
      </c>
      <c r="P933" s="52">
        <f>SUM(Q932:$Q932)/P930</f>
        <v>5850.7250562615955</v>
      </c>
    </row>
    <row r="934" ht="10.5">
      <c r="D934" s="6">
        <f>(D933+D927+D917+D910+D901+D896+D888+D880+D872+D864)/10</f>
        <v>4080.753179752399</v>
      </c>
    </row>
    <row r="935" spans="2:17" ht="10.5">
      <c r="B935" s="104" t="s">
        <v>95</v>
      </c>
      <c r="C935" s="104" t="s">
        <v>95</v>
      </c>
      <c r="D935" s="104" t="s">
        <v>95</v>
      </c>
      <c r="E935" s="104" t="s">
        <v>95</v>
      </c>
      <c r="F935" s="104" t="s">
        <v>95</v>
      </c>
      <c r="G935" s="104" t="s">
        <v>95</v>
      </c>
      <c r="H935" s="104" t="s">
        <v>95</v>
      </c>
      <c r="I935" s="104" t="s">
        <v>95</v>
      </c>
      <c r="J935" s="104" t="s">
        <v>95</v>
      </c>
      <c r="K935" s="104" t="s">
        <v>95</v>
      </c>
      <c r="L935" s="104" t="s">
        <v>95</v>
      </c>
      <c r="M935" s="104" t="s">
        <v>95</v>
      </c>
      <c r="N935" s="104" t="s">
        <v>95</v>
      </c>
      <c r="O935" s="104" t="s">
        <v>95</v>
      </c>
      <c r="P935" s="104" t="s">
        <v>95</v>
      </c>
      <c r="Q935" s="104" t="s">
        <v>95</v>
      </c>
    </row>
    <row r="936" spans="7:8" ht="10.5">
      <c r="G936" s="69"/>
      <c r="H936" s="69"/>
    </row>
    <row r="937" spans="7:8" ht="10.5">
      <c r="G937" s="69"/>
      <c r="H937" s="69"/>
    </row>
    <row r="938" spans="7:8" ht="10.5">
      <c r="G938" s="69"/>
      <c r="H938" s="69"/>
    </row>
    <row r="939" spans="3:41" ht="12.75">
      <c r="C939" s="177" t="s">
        <v>139</v>
      </c>
      <c r="G939" s="4"/>
      <c r="I939"/>
      <c r="Q939" s="69"/>
      <c r="AO939" s="4"/>
    </row>
    <row r="940" spans="4:41" ht="15">
      <c r="D940" s="173" t="s">
        <v>137</v>
      </c>
      <c r="E940" s="173" t="s">
        <v>130</v>
      </c>
      <c r="F940" s="173" t="s">
        <v>51</v>
      </c>
      <c r="G940" s="173" t="s">
        <v>131</v>
      </c>
      <c r="H940" s="173" t="s">
        <v>132</v>
      </c>
      <c r="I940" s="173" t="s">
        <v>57</v>
      </c>
      <c r="J940" s="173" t="s">
        <v>138</v>
      </c>
      <c r="P940" s="69"/>
      <c r="Q940" s="69"/>
      <c r="AN940" s="4"/>
      <c r="AO940" s="4"/>
    </row>
    <row r="941" spans="3:41" ht="12.75">
      <c r="C941" s="172" t="s">
        <v>133</v>
      </c>
      <c r="D941" s="168">
        <f>$D$71</f>
        <v>3958.963185574751</v>
      </c>
      <c r="E941" s="168">
        <f>$D$69</f>
        <v>623.6100676183315</v>
      </c>
      <c r="F941" s="174">
        <f>$D$74</f>
        <v>1.123138300900675</v>
      </c>
      <c r="G941" s="169">
        <f>$D$75</f>
        <v>0.104925532036027</v>
      </c>
      <c r="H941" s="169">
        <f>$H$75</f>
        <v>0.10409287682014953</v>
      </c>
      <c r="I941" s="169">
        <f>$D$82</f>
        <v>0.09038278914598095</v>
      </c>
      <c r="J941" s="169">
        <f>$D$90</f>
        <v>0.09807655782919619</v>
      </c>
      <c r="P941" s="69"/>
      <c r="Q941" s="69"/>
      <c r="AN941" s="4"/>
      <c r="AO941" s="4"/>
    </row>
    <row r="942" spans="3:41" ht="12.75">
      <c r="C942" s="172" t="s">
        <v>127</v>
      </c>
      <c r="D942" s="168">
        <f>$D$566</f>
        <v>3843.4798397195045</v>
      </c>
      <c r="E942" s="168">
        <f>$D$564</f>
        <v>508.12672176308445</v>
      </c>
      <c r="F942" s="174">
        <f>$D$569</f>
        <v>1.1900765936133726</v>
      </c>
      <c r="G942" s="169">
        <f>$D$570</f>
        <v>0.1076030637445349</v>
      </c>
      <c r="H942" s="169">
        <f>$H$570</f>
        <v>0.10629403054280032</v>
      </c>
      <c r="I942" s="169">
        <f>$D$577</f>
        <v>0.09199439708562214</v>
      </c>
      <c r="J942" s="169">
        <f>$D$585</f>
        <v>0.09985444358337496</v>
      </c>
      <c r="P942" s="69"/>
      <c r="Q942" s="69"/>
      <c r="AN942" s="4"/>
      <c r="AO942" s="4"/>
    </row>
    <row r="943" spans="3:41" ht="12.75">
      <c r="C943" s="172" t="s">
        <v>129</v>
      </c>
      <c r="D943" s="170">
        <f>$D$864</f>
        <v>4080.753179752398</v>
      </c>
      <c r="E943" s="170">
        <f>$D$862</f>
        <v>745.4000617959782</v>
      </c>
      <c r="F943" s="176">
        <f>$D$867</f>
        <v>1.1194632408592715</v>
      </c>
      <c r="G943" s="171">
        <f>$D$868</f>
        <v>0.10261814352830045</v>
      </c>
      <c r="H943" s="171">
        <f>$H$868</f>
        <v>0.10183837610111102</v>
      </c>
      <c r="I943" s="171">
        <f>$D$875</f>
        <v>0.08901295210576574</v>
      </c>
      <c r="J943" s="171">
        <f>$D$883</f>
        <v>0.09653881799648112</v>
      </c>
      <c r="P943" s="69"/>
      <c r="Q943" s="69"/>
      <c r="AN943" s="4"/>
      <c r="AO943" s="4"/>
    </row>
    <row r="944" spans="3:41" ht="12.75">
      <c r="C944" s="172" t="s">
        <v>126</v>
      </c>
      <c r="D944" s="168">
        <f>$D$467</f>
        <v>3999.273760134948</v>
      </c>
      <c r="E944" s="168">
        <f>$D$465</f>
        <v>663.9206421785284</v>
      </c>
      <c r="F944" s="174">
        <f>$D$470</f>
        <v>1.1045288979908765</v>
      </c>
      <c r="G944" s="169">
        <f>$D$471</f>
        <v>0.10418115591963506</v>
      </c>
      <c r="H944" s="169">
        <f>$H$471</f>
        <v>0.10332770050695436</v>
      </c>
      <c r="I944" s="169">
        <f>$D$478</f>
        <v>0.0899480521874921</v>
      </c>
      <c r="J944" s="169">
        <f>$D$486</f>
        <v>0.09758542429005303</v>
      </c>
      <c r="P944" s="69"/>
      <c r="Q944" s="69"/>
      <c r="AN944" s="4"/>
      <c r="AO944" s="4"/>
    </row>
    <row r="945" spans="3:41" ht="12.75">
      <c r="C945" s="172" t="s">
        <v>128</v>
      </c>
      <c r="D945" s="170">
        <f>$D$665</f>
        <v>3335.3531179564197</v>
      </c>
      <c r="E945" s="170">
        <f>$D$663</f>
        <v>0</v>
      </c>
      <c r="F945" s="175">
        <f>$D$668</f>
        <v>1.5396729930361506</v>
      </c>
      <c r="G945" s="171">
        <f>$D$669</f>
        <v>0.12158691972144603</v>
      </c>
      <c r="H945" s="171">
        <f>$H$669</f>
        <v>0.1175262437243268</v>
      </c>
      <c r="I945" s="171">
        <f>$D$676</f>
        <v>0.10000000000000002</v>
      </c>
      <c r="J945" s="171">
        <f>$D$684</f>
        <v>0.1086860253998886</v>
      </c>
      <c r="P945" s="69"/>
      <c r="Q945" s="69"/>
      <c r="AN945" s="4"/>
      <c r="AO945" s="4"/>
    </row>
    <row r="946" spans="3:41" ht="12.75">
      <c r="C946" s="172" t="s">
        <v>135</v>
      </c>
      <c r="D946" s="168">
        <f>$D$368</f>
        <v>3834.2411720510845</v>
      </c>
      <c r="E946" s="168">
        <f>$D$366</f>
        <v>498.88805409466477</v>
      </c>
      <c r="F946" s="174">
        <f>$D$371</f>
        <v>1.195605849070468</v>
      </c>
      <c r="G946" s="169">
        <f>$D$372</f>
        <v>0.10782423396281872</v>
      </c>
      <c r="H946" s="169">
        <f>$H$372</f>
        <v>0.10647511129097531</v>
      </c>
      <c r="I946" s="169">
        <f>$D$379</f>
        <v>0.09212634025246923</v>
      </c>
      <c r="J946" s="169">
        <f>$D$387</f>
        <v>0.09999999999999999</v>
      </c>
      <c r="P946" s="69"/>
      <c r="Q946" s="69"/>
      <c r="AN946" s="4"/>
      <c r="AO946" s="4"/>
    </row>
    <row r="947" spans="3:41" ht="12.75">
      <c r="C947" s="172" t="s">
        <v>134</v>
      </c>
      <c r="D947" s="168">
        <f>$D$170</f>
        <v>3727.3365890307996</v>
      </c>
      <c r="E947" s="168">
        <f>$D$168</f>
        <v>391.98347107437974</v>
      </c>
      <c r="F947" s="174">
        <f>$D$173</f>
        <v>1.2615808840203302</v>
      </c>
      <c r="G947" s="169">
        <f>$D$174</f>
        <v>0.1104632353608132</v>
      </c>
      <c r="H947" s="169">
        <f>$H$174</f>
        <v>0.1086271256739942</v>
      </c>
      <c r="I947" s="169">
        <f>$D$181</f>
        <v>0.09368703364745097</v>
      </c>
      <c r="J947" s="169">
        <f>$D$189</f>
        <v>0.10172171809614974</v>
      </c>
      <c r="P947" s="69"/>
      <c r="Q947" s="69"/>
      <c r="AN947" s="4"/>
      <c r="AO947" s="4"/>
    </row>
    <row r="948" spans="3:41" ht="12.75">
      <c r="C948" s="172" t="s">
        <v>125</v>
      </c>
      <c r="D948" s="168">
        <f>$D$269</f>
        <v>3477.8925619834663</v>
      </c>
      <c r="E948" s="168">
        <f>$D$267</f>
        <v>142.539444027047</v>
      </c>
      <c r="F948" s="174">
        <f>$D$272</f>
        <v>1.4312956692211727</v>
      </c>
      <c r="G948" s="169">
        <f>$D$273</f>
        <v>0.1172518267688469</v>
      </c>
      <c r="H948" s="169">
        <f>$H$273</f>
        <v>0.11409070893879349</v>
      </c>
      <c r="I948" s="169">
        <f>$D$280</f>
        <v>0.097589341302453</v>
      </c>
      <c r="J948" s="169">
        <f>$D$288</f>
        <v>0.10602664674386751</v>
      </c>
      <c r="P948" s="69"/>
      <c r="Q948" s="69"/>
      <c r="AN948" s="4"/>
      <c r="AO948" s="4"/>
    </row>
    <row r="949" spans="3:41" ht="12.75">
      <c r="C949" s="172" t="s">
        <v>136</v>
      </c>
      <c r="D949" s="170">
        <f>$D$764</f>
        <v>3602.614575507134</v>
      </c>
      <c r="E949" s="170">
        <f>$D$762</f>
        <v>267.26145755071377</v>
      </c>
      <c r="F949" s="175">
        <f>$D$767</f>
        <v>1.3435005255386772</v>
      </c>
      <c r="G949" s="171">
        <f>$D$768</f>
        <v>0.1137400210215471</v>
      </c>
      <c r="H949" s="171">
        <f>$H$768</f>
        <v>0.1112772319521572</v>
      </c>
      <c r="I949" s="171">
        <f>$D$775</f>
        <v>0.09559049587872044</v>
      </c>
      <c r="J949" s="171">
        <f>$D$783</f>
        <v>0.10382157023844231</v>
      </c>
      <c r="P949" s="69"/>
      <c r="Q949" s="69"/>
      <c r="AN949" s="4"/>
      <c r="AO949" s="4"/>
    </row>
    <row r="950" spans="1:17" s="69" customFormat="1" ht="10.5">
      <c r="A950" s="75"/>
      <c r="J950" s="92"/>
      <c r="K950" s="92"/>
      <c r="L950" s="92"/>
      <c r="M950" s="92"/>
      <c r="N950" s="92"/>
      <c r="O950" s="92"/>
      <c r="P950" s="92"/>
      <c r="Q950" s="92"/>
    </row>
    <row r="951" spans="1:17" s="69" customFormat="1" ht="10.5">
      <c r="A951" s="75"/>
      <c r="J951" s="92"/>
      <c r="K951" s="92"/>
      <c r="L951" s="92"/>
      <c r="M951" s="92"/>
      <c r="N951" s="92"/>
      <c r="O951" s="92"/>
      <c r="P951" s="92"/>
      <c r="Q951" s="92"/>
    </row>
    <row r="952" spans="1:17" s="69" customFormat="1" ht="10.5">
      <c r="A952" s="75"/>
      <c r="J952" s="92"/>
      <c r="K952" s="92"/>
      <c r="L952" s="92"/>
      <c r="M952" s="92"/>
      <c r="N952" s="92"/>
      <c r="O952" s="92"/>
      <c r="P952" s="92"/>
      <c r="Q952" s="92"/>
    </row>
    <row r="953" spans="1:17" s="69" customFormat="1" ht="10.5">
      <c r="A953" s="75"/>
      <c r="J953" s="92"/>
      <c r="K953" s="92"/>
      <c r="L953" s="92"/>
      <c r="M953" s="92"/>
      <c r="N953" s="92"/>
      <c r="O953" s="92"/>
      <c r="P953" s="92"/>
      <c r="Q953" s="92"/>
    </row>
    <row r="954" spans="1:17" s="69" customFormat="1" ht="10.5">
      <c r="A954" s="75"/>
      <c r="J954" s="92"/>
      <c r="K954" s="92"/>
      <c r="L954" s="92"/>
      <c r="M954" s="92"/>
      <c r="N954" s="92"/>
      <c r="O954" s="92"/>
      <c r="P954" s="92"/>
      <c r="Q954" s="92"/>
    </row>
    <row r="955" spans="1:16" s="69" customFormat="1" ht="10.5">
      <c r="A955" s="75"/>
      <c r="I955" s="92"/>
      <c r="J955" s="92"/>
      <c r="K955" s="92"/>
      <c r="L955" s="92"/>
      <c r="M955" s="92"/>
      <c r="N955" s="92"/>
      <c r="O955" s="92"/>
      <c r="P955" s="92"/>
    </row>
    <row r="956" spans="1:17" s="69" customFormat="1" ht="10.5">
      <c r="A956" s="75"/>
      <c r="E956" s="178">
        <f>E11/D11-1</f>
        <v>0.014999999999999902</v>
      </c>
      <c r="F956" s="178">
        <f aca="true" t="shared" si="635" ref="F956:Q956">F11/E11-1</f>
        <v>0.1650246305418719</v>
      </c>
      <c r="G956" s="178">
        <f t="shared" si="635"/>
        <v>0.02748414376321362</v>
      </c>
      <c r="H956" s="178">
        <f t="shared" si="635"/>
        <v>0.02000000000000024</v>
      </c>
      <c r="I956" s="178">
        <f t="shared" si="635"/>
        <v>0.020000000000000018</v>
      </c>
      <c r="J956" s="178">
        <f t="shared" si="635"/>
        <v>0.020000000000000018</v>
      </c>
      <c r="K956" s="178">
        <f t="shared" si="635"/>
        <v>0.020000000000000018</v>
      </c>
      <c r="L956" s="178">
        <f t="shared" si="635"/>
        <v>0.020000000000000018</v>
      </c>
      <c r="M956" s="178">
        <f t="shared" si="635"/>
        <v>0.02000000000000024</v>
      </c>
      <c r="N956" s="178">
        <f t="shared" si="635"/>
        <v>0.019999999999999796</v>
      </c>
      <c r="O956" s="178">
        <f t="shared" si="635"/>
        <v>0.02000000000000024</v>
      </c>
      <c r="P956" s="178">
        <f t="shared" si="635"/>
        <v>0.020000000000000018</v>
      </c>
      <c r="Q956" s="178">
        <f t="shared" si="635"/>
        <v>0.020000000000000018</v>
      </c>
    </row>
    <row r="957" spans="1:17" s="69" customFormat="1" ht="10.5">
      <c r="A957" s="75"/>
      <c r="J957" s="92"/>
      <c r="K957" s="92"/>
      <c r="L957" s="92"/>
      <c r="M957" s="92"/>
      <c r="N957" s="92"/>
      <c r="O957" s="92"/>
      <c r="P957" s="92"/>
      <c r="Q957" s="92"/>
    </row>
    <row r="958" spans="1:17" s="69" customFormat="1" ht="10.5">
      <c r="A958" s="75"/>
      <c r="J958" s="92"/>
      <c r="K958" s="92"/>
      <c r="L958" s="92"/>
      <c r="M958" s="92"/>
      <c r="N958" s="92"/>
      <c r="O958" s="92"/>
      <c r="P958" s="92"/>
      <c r="Q958" s="92"/>
    </row>
    <row r="959" spans="1:17" s="69" customFormat="1" ht="10.5">
      <c r="A959" s="75"/>
      <c r="J959" s="92"/>
      <c r="K959" s="92"/>
      <c r="L959" s="92"/>
      <c r="M959" s="92"/>
      <c r="N959" s="92"/>
      <c r="O959" s="92"/>
      <c r="P959" s="92"/>
      <c r="Q959" s="92"/>
    </row>
    <row r="960" spans="1:17" s="69" customFormat="1" ht="10.5">
      <c r="A960" s="75"/>
      <c r="J960" s="92"/>
      <c r="K960" s="92"/>
      <c r="L960" s="92"/>
      <c r="M960" s="92"/>
      <c r="N960" s="92"/>
      <c r="O960" s="92"/>
      <c r="P960" s="92"/>
      <c r="Q960" s="92"/>
    </row>
    <row r="961" spans="1:17" s="69" customFormat="1" ht="10.5">
      <c r="A961" s="75"/>
      <c r="J961" s="92"/>
      <c r="K961" s="92"/>
      <c r="L961" s="92"/>
      <c r="M961" s="92"/>
      <c r="N961" s="92"/>
      <c r="O961" s="92"/>
      <c r="P961" s="92"/>
      <c r="Q961" s="92"/>
    </row>
    <row r="962" spans="1:17" s="69" customFormat="1" ht="10.5">
      <c r="A962" s="75"/>
      <c r="J962" s="92"/>
      <c r="K962" s="92"/>
      <c r="L962" s="92"/>
      <c r="M962" s="92"/>
      <c r="N962" s="92"/>
      <c r="O962" s="92"/>
      <c r="P962" s="92"/>
      <c r="Q962" s="92"/>
    </row>
    <row r="963" spans="1:17" s="69" customFormat="1" ht="10.5">
      <c r="A963" s="75"/>
      <c r="J963" s="92"/>
      <c r="K963" s="92"/>
      <c r="L963" s="92"/>
      <c r="M963" s="92"/>
      <c r="N963" s="92"/>
      <c r="O963" s="92"/>
      <c r="P963" s="92"/>
      <c r="Q963" s="92"/>
    </row>
    <row r="964" spans="1:17" s="69" customFormat="1" ht="10.5">
      <c r="A964" s="75"/>
      <c r="J964" s="92"/>
      <c r="K964" s="92"/>
      <c r="L964" s="92"/>
      <c r="M964" s="92"/>
      <c r="N964" s="92"/>
      <c r="O964" s="92"/>
      <c r="P964" s="92"/>
      <c r="Q964" s="92"/>
    </row>
    <row r="965" spans="1:17" s="69" customFormat="1" ht="10.5">
      <c r="A965" s="75"/>
      <c r="J965" s="92"/>
      <c r="K965" s="92"/>
      <c r="L965" s="92"/>
      <c r="M965" s="92"/>
      <c r="N965" s="92"/>
      <c r="O965" s="92"/>
      <c r="P965" s="92"/>
      <c r="Q965" s="92"/>
    </row>
    <row r="966" spans="1:17" s="69" customFormat="1" ht="10.5">
      <c r="A966" s="75"/>
      <c r="J966" s="92"/>
      <c r="K966" s="92"/>
      <c r="L966" s="92"/>
      <c r="M966" s="92"/>
      <c r="N966" s="92"/>
      <c r="O966" s="92"/>
      <c r="P966" s="92"/>
      <c r="Q966" s="92"/>
    </row>
    <row r="967" spans="1:17" s="69" customFormat="1" ht="10.5">
      <c r="A967" s="75"/>
      <c r="J967" s="92"/>
      <c r="K967" s="92"/>
      <c r="L967" s="92"/>
      <c r="M967" s="92"/>
      <c r="N967" s="92"/>
      <c r="O967" s="92"/>
      <c r="P967" s="92"/>
      <c r="Q967" s="92"/>
    </row>
    <row r="968" spans="1:17" s="69" customFormat="1" ht="10.5">
      <c r="A968" s="75"/>
      <c r="J968" s="92"/>
      <c r="K968" s="92"/>
      <c r="L968" s="92"/>
      <c r="M968" s="92"/>
      <c r="N968" s="92"/>
      <c r="O968" s="92"/>
      <c r="P968" s="92"/>
      <c r="Q968" s="92"/>
    </row>
    <row r="969" spans="1:17" s="69" customFormat="1" ht="10.5">
      <c r="A969" s="75"/>
      <c r="J969" s="92"/>
      <c r="K969" s="92"/>
      <c r="L969" s="92"/>
      <c r="M969" s="92"/>
      <c r="N969" s="92"/>
      <c r="O969" s="92"/>
      <c r="P969" s="92"/>
      <c r="Q969" s="92"/>
    </row>
    <row r="970" spans="1:17" s="69" customFormat="1" ht="10.5">
      <c r="A970" s="75"/>
      <c r="J970" s="92"/>
      <c r="K970" s="92"/>
      <c r="L970" s="92"/>
      <c r="M970" s="92"/>
      <c r="N970" s="92"/>
      <c r="O970" s="92"/>
      <c r="P970" s="92"/>
      <c r="Q970" s="92"/>
    </row>
    <row r="971" spans="1:17" s="69" customFormat="1" ht="10.5">
      <c r="A971" s="75"/>
      <c r="J971" s="92"/>
      <c r="K971" s="92"/>
      <c r="L971" s="92"/>
      <c r="M971" s="92"/>
      <c r="N971" s="92"/>
      <c r="O971" s="92"/>
      <c r="P971" s="92"/>
      <c r="Q971" s="92"/>
    </row>
    <row r="972" spans="1:17" s="69" customFormat="1" ht="10.5">
      <c r="A972" s="75"/>
      <c r="J972" s="92"/>
      <c r="K972" s="92"/>
      <c r="L972" s="92"/>
      <c r="M972" s="92"/>
      <c r="N972" s="92"/>
      <c r="O972" s="92"/>
      <c r="P972" s="92"/>
      <c r="Q972" s="92"/>
    </row>
    <row r="973" spans="1:17" s="69" customFormat="1" ht="10.5">
      <c r="A973" s="75"/>
      <c r="J973" s="92"/>
      <c r="K973" s="92"/>
      <c r="L973" s="92"/>
      <c r="M973" s="92"/>
      <c r="N973" s="92"/>
      <c r="O973" s="92"/>
      <c r="P973" s="92"/>
      <c r="Q973" s="92"/>
    </row>
    <row r="974" spans="1:17" s="69" customFormat="1" ht="10.5">
      <c r="A974" s="75"/>
      <c r="J974" s="92"/>
      <c r="K974" s="92"/>
      <c r="L974" s="92"/>
      <c r="M974" s="92"/>
      <c r="N974" s="92"/>
      <c r="O974" s="92"/>
      <c r="P974" s="92"/>
      <c r="Q974" s="92"/>
    </row>
    <row r="975" spans="1:17" s="69" customFormat="1" ht="10.5">
      <c r="A975" s="75"/>
      <c r="J975" s="92"/>
      <c r="K975" s="92"/>
      <c r="L975" s="92"/>
      <c r="M975" s="92"/>
      <c r="N975" s="92"/>
      <c r="O975" s="92"/>
      <c r="P975" s="92"/>
      <c r="Q975" s="92"/>
    </row>
    <row r="976" spans="1:17" s="69" customFormat="1" ht="10.5">
      <c r="A976" s="75"/>
      <c r="J976" s="92"/>
      <c r="K976" s="92"/>
      <c r="L976" s="92"/>
      <c r="M976" s="92"/>
      <c r="N976" s="92"/>
      <c r="O976" s="92"/>
      <c r="P976" s="92"/>
      <c r="Q976" s="92"/>
    </row>
    <row r="977" spans="1:17" s="69" customFormat="1" ht="10.5">
      <c r="A977" s="75"/>
      <c r="J977" s="92"/>
      <c r="K977" s="92"/>
      <c r="L977" s="92"/>
      <c r="M977" s="92"/>
      <c r="N977" s="92"/>
      <c r="O977" s="92"/>
      <c r="P977" s="92"/>
      <c r="Q977" s="92"/>
    </row>
    <row r="978" spans="1:17" s="69" customFormat="1" ht="10.5">
      <c r="A978" s="75"/>
      <c r="J978" s="92"/>
      <c r="K978" s="92"/>
      <c r="L978" s="92"/>
      <c r="M978" s="92"/>
      <c r="N978" s="92"/>
      <c r="O978" s="92"/>
      <c r="P978" s="92"/>
      <c r="Q978" s="92"/>
    </row>
    <row r="979" spans="1:17" s="69" customFormat="1" ht="10.5">
      <c r="A979" s="75"/>
      <c r="J979" s="92"/>
      <c r="K979" s="92"/>
      <c r="L979" s="92"/>
      <c r="M979" s="92"/>
      <c r="N979" s="92"/>
      <c r="O979" s="92"/>
      <c r="P979" s="92"/>
      <c r="Q979" s="92"/>
    </row>
    <row r="980" spans="1:17" s="69" customFormat="1" ht="10.5">
      <c r="A980" s="75"/>
      <c r="J980" s="92"/>
      <c r="K980" s="92"/>
      <c r="L980" s="92"/>
      <c r="M980" s="92"/>
      <c r="N980" s="92"/>
      <c r="O980" s="92"/>
      <c r="P980" s="92"/>
      <c r="Q980" s="92"/>
    </row>
    <row r="981" spans="1:17" s="69" customFormat="1" ht="10.5">
      <c r="A981" s="75"/>
      <c r="J981" s="92"/>
      <c r="K981" s="92"/>
      <c r="L981" s="92"/>
      <c r="M981" s="92"/>
      <c r="N981" s="92"/>
      <c r="O981" s="92"/>
      <c r="P981" s="92"/>
      <c r="Q981" s="92"/>
    </row>
    <row r="982" spans="1:17" s="69" customFormat="1" ht="10.5">
      <c r="A982" s="75"/>
      <c r="J982" s="92"/>
      <c r="K982" s="92"/>
      <c r="L982" s="92"/>
      <c r="M982" s="92"/>
      <c r="N982" s="92"/>
      <c r="O982" s="92"/>
      <c r="P982" s="92"/>
      <c r="Q982" s="92"/>
    </row>
    <row r="983" spans="1:17" s="69" customFormat="1" ht="10.5">
      <c r="A983" s="75"/>
      <c r="J983" s="92"/>
      <c r="K983" s="92"/>
      <c r="L983" s="92"/>
      <c r="M983" s="92"/>
      <c r="N983" s="92"/>
      <c r="O983" s="92"/>
      <c r="P983" s="92"/>
      <c r="Q983" s="92"/>
    </row>
    <row r="984" spans="1:17" s="69" customFormat="1" ht="10.5">
      <c r="A984" s="75"/>
      <c r="J984" s="92"/>
      <c r="K984" s="92"/>
      <c r="L984" s="92"/>
      <c r="M984" s="92"/>
      <c r="N984" s="92"/>
      <c r="O984" s="92"/>
      <c r="P984" s="92"/>
      <c r="Q984" s="92"/>
    </row>
    <row r="985" spans="1:17" s="69" customFormat="1" ht="10.5">
      <c r="A985" s="75"/>
      <c r="J985" s="92"/>
      <c r="K985" s="92"/>
      <c r="L985" s="92"/>
      <c r="M985" s="92"/>
      <c r="N985" s="92"/>
      <c r="O985" s="92"/>
      <c r="P985" s="92"/>
      <c r="Q985" s="92"/>
    </row>
    <row r="986" spans="1:17" s="69" customFormat="1" ht="10.5">
      <c r="A986" s="75"/>
      <c r="J986" s="92"/>
      <c r="K986" s="92"/>
      <c r="L986" s="92"/>
      <c r="M986" s="92"/>
      <c r="N986" s="92"/>
      <c r="O986" s="92"/>
      <c r="P986" s="92"/>
      <c r="Q986" s="92"/>
    </row>
    <row r="987" spans="1:17" s="69" customFormat="1" ht="10.5">
      <c r="A987" s="75"/>
      <c r="J987" s="92"/>
      <c r="K987" s="92"/>
      <c r="L987" s="92"/>
      <c r="M987" s="92"/>
      <c r="N987" s="92"/>
      <c r="O987" s="92"/>
      <c r="P987" s="92"/>
      <c r="Q987" s="92"/>
    </row>
    <row r="988" spans="1:17" s="69" customFormat="1" ht="10.5">
      <c r="A988" s="75"/>
      <c r="J988" s="92"/>
      <c r="K988" s="92"/>
      <c r="L988" s="92"/>
      <c r="M988" s="92"/>
      <c r="N988" s="92"/>
      <c r="O988" s="92"/>
      <c r="P988" s="92"/>
      <c r="Q988" s="92"/>
    </row>
    <row r="989" spans="1:17" s="69" customFormat="1" ht="10.5">
      <c r="A989" s="75"/>
      <c r="J989" s="92"/>
      <c r="K989" s="92"/>
      <c r="L989" s="92"/>
      <c r="M989" s="92"/>
      <c r="N989" s="92"/>
      <c r="O989" s="92"/>
      <c r="P989" s="92"/>
      <c r="Q989" s="92"/>
    </row>
    <row r="990" spans="1:17" s="69" customFormat="1" ht="10.5">
      <c r="A990" s="75"/>
      <c r="J990" s="92"/>
      <c r="K990" s="92"/>
      <c r="L990" s="92"/>
      <c r="M990" s="92"/>
      <c r="N990" s="92"/>
      <c r="O990" s="92"/>
      <c r="P990" s="92"/>
      <c r="Q990" s="92"/>
    </row>
    <row r="991" spans="1:17" s="69" customFormat="1" ht="10.5">
      <c r="A991" s="75"/>
      <c r="J991" s="92"/>
      <c r="K991" s="92"/>
      <c r="L991" s="92"/>
      <c r="M991" s="92"/>
      <c r="N991" s="92"/>
      <c r="O991" s="92"/>
      <c r="P991" s="92"/>
      <c r="Q991" s="92"/>
    </row>
    <row r="992" spans="1:17" s="69" customFormat="1" ht="10.5">
      <c r="A992" s="75"/>
      <c r="J992" s="92"/>
      <c r="K992" s="92"/>
      <c r="L992" s="92"/>
      <c r="M992" s="92"/>
      <c r="N992" s="92"/>
      <c r="O992" s="92"/>
      <c r="P992" s="92"/>
      <c r="Q992" s="92"/>
    </row>
    <row r="993" spans="1:17" s="69" customFormat="1" ht="10.5">
      <c r="A993" s="75"/>
      <c r="J993" s="92"/>
      <c r="K993" s="92"/>
      <c r="L993" s="92"/>
      <c r="M993" s="92"/>
      <c r="N993" s="92"/>
      <c r="O993" s="92"/>
      <c r="P993" s="92"/>
      <c r="Q993" s="92"/>
    </row>
    <row r="994" spans="1:17" s="69" customFormat="1" ht="10.5">
      <c r="A994" s="75"/>
      <c r="J994" s="92"/>
      <c r="K994" s="92"/>
      <c r="L994" s="92"/>
      <c r="M994" s="92"/>
      <c r="N994" s="92"/>
      <c r="O994" s="92"/>
      <c r="P994" s="92"/>
      <c r="Q994" s="92"/>
    </row>
    <row r="995" spans="1:17" s="69" customFormat="1" ht="10.5">
      <c r="A995" s="75"/>
      <c r="J995" s="92"/>
      <c r="K995" s="92"/>
      <c r="L995" s="92"/>
      <c r="M995" s="92"/>
      <c r="N995" s="92"/>
      <c r="O995" s="92"/>
      <c r="P995" s="92"/>
      <c r="Q995" s="92"/>
    </row>
    <row r="996" spans="1:17" s="69" customFormat="1" ht="10.5">
      <c r="A996" s="75"/>
      <c r="J996" s="92"/>
      <c r="K996" s="92"/>
      <c r="L996" s="92"/>
      <c r="M996" s="92"/>
      <c r="N996" s="92"/>
      <c r="O996" s="92"/>
      <c r="P996" s="92"/>
      <c r="Q996" s="92"/>
    </row>
    <row r="997" spans="1:17" s="69" customFormat="1" ht="10.5">
      <c r="A997" s="75"/>
      <c r="J997" s="92"/>
      <c r="K997" s="92"/>
      <c r="L997" s="92"/>
      <c r="M997" s="92"/>
      <c r="N997" s="92"/>
      <c r="O997" s="92"/>
      <c r="P997" s="92"/>
      <c r="Q997" s="92"/>
    </row>
    <row r="998" spans="1:17" s="69" customFormat="1" ht="10.5">
      <c r="A998" s="75"/>
      <c r="J998" s="92"/>
      <c r="K998" s="92"/>
      <c r="L998" s="92"/>
      <c r="M998" s="92"/>
      <c r="N998" s="92"/>
      <c r="O998" s="92"/>
      <c r="P998" s="92"/>
      <c r="Q998" s="92"/>
    </row>
    <row r="999" spans="1:17" s="69" customFormat="1" ht="10.5">
      <c r="A999" s="75"/>
      <c r="J999" s="92"/>
      <c r="K999" s="92"/>
      <c r="L999" s="92"/>
      <c r="M999" s="92"/>
      <c r="N999" s="92"/>
      <c r="O999" s="92"/>
      <c r="P999" s="92"/>
      <c r="Q999" s="92"/>
    </row>
    <row r="1000" spans="1:17" s="69" customFormat="1" ht="10.5">
      <c r="A1000" s="75"/>
      <c r="J1000" s="92"/>
      <c r="K1000" s="92"/>
      <c r="L1000" s="92"/>
      <c r="M1000" s="92"/>
      <c r="N1000" s="92"/>
      <c r="O1000" s="92"/>
      <c r="P1000" s="92"/>
      <c r="Q1000" s="92"/>
    </row>
    <row r="1001" spans="1:17" s="69" customFormat="1" ht="10.5">
      <c r="A1001" s="75"/>
      <c r="J1001" s="92"/>
      <c r="K1001" s="92"/>
      <c r="L1001" s="92"/>
      <c r="M1001" s="92"/>
      <c r="N1001" s="92"/>
      <c r="O1001" s="92"/>
      <c r="P1001" s="92"/>
      <c r="Q1001" s="92"/>
    </row>
    <row r="1002" spans="1:17" s="69" customFormat="1" ht="10.5">
      <c r="A1002" s="75"/>
      <c r="J1002" s="92"/>
      <c r="K1002" s="92"/>
      <c r="L1002" s="92"/>
      <c r="M1002" s="92"/>
      <c r="N1002" s="92"/>
      <c r="O1002" s="92"/>
      <c r="P1002" s="92"/>
      <c r="Q1002" s="92"/>
    </row>
    <row r="1003" spans="1:17" s="69" customFormat="1" ht="10.5">
      <c r="A1003" s="75"/>
      <c r="J1003" s="92"/>
      <c r="K1003" s="92"/>
      <c r="L1003" s="92"/>
      <c r="M1003" s="92"/>
      <c r="N1003" s="92"/>
      <c r="O1003" s="92"/>
      <c r="P1003" s="92"/>
      <c r="Q1003" s="92"/>
    </row>
    <row r="1004" spans="1:17" s="69" customFormat="1" ht="10.5">
      <c r="A1004" s="75"/>
      <c r="J1004" s="92"/>
      <c r="K1004" s="92"/>
      <c r="L1004" s="92"/>
      <c r="M1004" s="92"/>
      <c r="N1004" s="92"/>
      <c r="O1004" s="92"/>
      <c r="P1004" s="92"/>
      <c r="Q1004" s="92"/>
    </row>
    <row r="1005" spans="1:17" s="69" customFormat="1" ht="10.5">
      <c r="A1005" s="75"/>
      <c r="J1005" s="92"/>
      <c r="K1005" s="92"/>
      <c r="L1005" s="92"/>
      <c r="M1005" s="92"/>
      <c r="N1005" s="92"/>
      <c r="O1005" s="92"/>
      <c r="P1005" s="92"/>
      <c r="Q1005" s="92"/>
    </row>
    <row r="1006" spans="1:17" s="69" customFormat="1" ht="10.5">
      <c r="A1006" s="75"/>
      <c r="J1006" s="92"/>
      <c r="K1006" s="92"/>
      <c r="L1006" s="92"/>
      <c r="M1006" s="92"/>
      <c r="N1006" s="92"/>
      <c r="O1006" s="92"/>
      <c r="P1006" s="92"/>
      <c r="Q1006" s="92"/>
    </row>
    <row r="1007" spans="1:17" s="69" customFormat="1" ht="10.5">
      <c r="A1007" s="75"/>
      <c r="J1007" s="92"/>
      <c r="K1007" s="92"/>
      <c r="L1007" s="92"/>
      <c r="M1007" s="92"/>
      <c r="N1007" s="92"/>
      <c r="O1007" s="92"/>
      <c r="P1007" s="92"/>
      <c r="Q1007" s="92"/>
    </row>
    <row r="1008" spans="1:17" s="69" customFormat="1" ht="10.5">
      <c r="A1008" s="75"/>
      <c r="J1008" s="92"/>
      <c r="K1008" s="92"/>
      <c r="L1008" s="92"/>
      <c r="M1008" s="92"/>
      <c r="N1008" s="92"/>
      <c r="O1008" s="92"/>
      <c r="P1008" s="92"/>
      <c r="Q1008" s="92"/>
    </row>
    <row r="1009" spans="1:17" s="69" customFormat="1" ht="10.5">
      <c r="A1009" s="75"/>
      <c r="J1009" s="92"/>
      <c r="K1009" s="92"/>
      <c r="L1009" s="92"/>
      <c r="M1009" s="92"/>
      <c r="N1009" s="92"/>
      <c r="O1009" s="92"/>
      <c r="P1009" s="92"/>
      <c r="Q1009" s="92"/>
    </row>
    <row r="1010" spans="1:17" s="69" customFormat="1" ht="10.5">
      <c r="A1010" s="75"/>
      <c r="J1010" s="92"/>
      <c r="K1010" s="92"/>
      <c r="L1010" s="92"/>
      <c r="M1010" s="92"/>
      <c r="N1010" s="92"/>
      <c r="O1010" s="92"/>
      <c r="P1010" s="92"/>
      <c r="Q1010" s="92"/>
    </row>
    <row r="1011" spans="1:17" s="69" customFormat="1" ht="10.5">
      <c r="A1011" s="75"/>
      <c r="J1011" s="92"/>
      <c r="K1011" s="92"/>
      <c r="L1011" s="92"/>
      <c r="M1011" s="92"/>
      <c r="N1011" s="92"/>
      <c r="O1011" s="92"/>
      <c r="P1011" s="92"/>
      <c r="Q1011" s="92"/>
    </row>
    <row r="1012" spans="1:17" s="69" customFormat="1" ht="10.5">
      <c r="A1012" s="75"/>
      <c r="J1012" s="92"/>
      <c r="K1012" s="92"/>
      <c r="L1012" s="92"/>
      <c r="M1012" s="92"/>
      <c r="N1012" s="92"/>
      <c r="O1012" s="92"/>
      <c r="P1012" s="92"/>
      <c r="Q1012" s="92"/>
    </row>
    <row r="1013" spans="1:17" s="69" customFormat="1" ht="10.5">
      <c r="A1013" s="75"/>
      <c r="J1013" s="92"/>
      <c r="K1013" s="92"/>
      <c r="L1013" s="92"/>
      <c r="M1013" s="92"/>
      <c r="N1013" s="92"/>
      <c r="O1013" s="92"/>
      <c r="P1013" s="92"/>
      <c r="Q1013" s="92"/>
    </row>
    <row r="1014" spans="1:17" s="69" customFormat="1" ht="10.5">
      <c r="A1014" s="75"/>
      <c r="J1014" s="92"/>
      <c r="K1014" s="92"/>
      <c r="L1014" s="92"/>
      <c r="M1014" s="92"/>
      <c r="N1014" s="92"/>
      <c r="O1014" s="92"/>
      <c r="P1014" s="92"/>
      <c r="Q1014" s="92"/>
    </row>
    <row r="1015" spans="1:17" s="69" customFormat="1" ht="10.5">
      <c r="A1015" s="75"/>
      <c r="J1015" s="92"/>
      <c r="K1015" s="92"/>
      <c r="L1015" s="92"/>
      <c r="M1015" s="92"/>
      <c r="N1015" s="92"/>
      <c r="O1015" s="92"/>
      <c r="P1015" s="92"/>
      <c r="Q1015" s="92"/>
    </row>
    <row r="1016" spans="1:17" s="69" customFormat="1" ht="10.5">
      <c r="A1016" s="75"/>
      <c r="J1016" s="92"/>
      <c r="K1016" s="92"/>
      <c r="L1016" s="92"/>
      <c r="M1016" s="92"/>
      <c r="N1016" s="92"/>
      <c r="O1016" s="92"/>
      <c r="P1016" s="92"/>
      <c r="Q1016" s="92"/>
    </row>
    <row r="1017" spans="1:17" s="69" customFormat="1" ht="10.5">
      <c r="A1017" s="75"/>
      <c r="J1017" s="92"/>
      <c r="K1017" s="92"/>
      <c r="L1017" s="92"/>
      <c r="M1017" s="92"/>
      <c r="N1017" s="92"/>
      <c r="O1017" s="92"/>
      <c r="P1017" s="92"/>
      <c r="Q1017" s="92"/>
    </row>
    <row r="1018" spans="1:17" s="69" customFormat="1" ht="10.5">
      <c r="A1018" s="75"/>
      <c r="J1018" s="92"/>
      <c r="K1018" s="92"/>
      <c r="L1018" s="92"/>
      <c r="M1018" s="92"/>
      <c r="N1018" s="92"/>
      <c r="O1018" s="92"/>
      <c r="P1018" s="92"/>
      <c r="Q1018" s="92"/>
    </row>
    <row r="1019" spans="1:17" s="69" customFormat="1" ht="10.5">
      <c r="A1019" s="75"/>
      <c r="J1019" s="92"/>
      <c r="K1019" s="92"/>
      <c r="L1019" s="92"/>
      <c r="M1019" s="92"/>
      <c r="N1019" s="92"/>
      <c r="O1019" s="92"/>
      <c r="P1019" s="92"/>
      <c r="Q1019" s="92"/>
    </row>
    <row r="1020" spans="1:17" s="69" customFormat="1" ht="10.5">
      <c r="A1020" s="75"/>
      <c r="J1020" s="92"/>
      <c r="K1020" s="92"/>
      <c r="L1020" s="92"/>
      <c r="M1020" s="92"/>
      <c r="N1020" s="92"/>
      <c r="O1020" s="92"/>
      <c r="P1020" s="92"/>
      <c r="Q1020" s="92"/>
    </row>
    <row r="1021" spans="1:17" s="69" customFormat="1" ht="10.5">
      <c r="A1021" s="75"/>
      <c r="J1021" s="92"/>
      <c r="K1021" s="92"/>
      <c r="L1021" s="92"/>
      <c r="M1021" s="92"/>
      <c r="N1021" s="92"/>
      <c r="O1021" s="92"/>
      <c r="P1021" s="92"/>
      <c r="Q1021" s="92"/>
    </row>
    <row r="1022" spans="1:17" s="69" customFormat="1" ht="10.5">
      <c r="A1022" s="75"/>
      <c r="J1022" s="92"/>
      <c r="K1022" s="92"/>
      <c r="L1022" s="92"/>
      <c r="M1022" s="92"/>
      <c r="N1022" s="92"/>
      <c r="O1022" s="92"/>
      <c r="P1022" s="92"/>
      <c r="Q1022" s="92"/>
    </row>
    <row r="1023" spans="1:17" s="69" customFormat="1" ht="10.5">
      <c r="A1023" s="75"/>
      <c r="J1023" s="92"/>
      <c r="K1023" s="92"/>
      <c r="L1023" s="92"/>
      <c r="M1023" s="92"/>
      <c r="N1023" s="92"/>
      <c r="O1023" s="92"/>
      <c r="P1023" s="92"/>
      <c r="Q1023" s="92"/>
    </row>
    <row r="1024" spans="1:17" s="69" customFormat="1" ht="10.5">
      <c r="A1024" s="75"/>
      <c r="J1024" s="92"/>
      <c r="K1024" s="92"/>
      <c r="L1024" s="92"/>
      <c r="M1024" s="92"/>
      <c r="N1024" s="92"/>
      <c r="O1024" s="92"/>
      <c r="P1024" s="92"/>
      <c r="Q1024" s="92"/>
    </row>
    <row r="1025" spans="1:17" s="69" customFormat="1" ht="10.5">
      <c r="A1025" s="75"/>
      <c r="J1025" s="92"/>
      <c r="K1025" s="92"/>
      <c r="L1025" s="92"/>
      <c r="M1025" s="92"/>
      <c r="N1025" s="92"/>
      <c r="O1025" s="92"/>
      <c r="P1025" s="92"/>
      <c r="Q1025" s="92"/>
    </row>
    <row r="1026" spans="1:17" s="69" customFormat="1" ht="10.5">
      <c r="A1026" s="75"/>
      <c r="J1026" s="92"/>
      <c r="K1026" s="92"/>
      <c r="L1026" s="92"/>
      <c r="M1026" s="92"/>
      <c r="N1026" s="92"/>
      <c r="O1026" s="92"/>
      <c r="P1026" s="92"/>
      <c r="Q1026" s="92"/>
    </row>
    <row r="1027" spans="1:17" s="69" customFormat="1" ht="10.5">
      <c r="A1027" s="75"/>
      <c r="J1027" s="92"/>
      <c r="K1027" s="92"/>
      <c r="L1027" s="92"/>
      <c r="M1027" s="92"/>
      <c r="N1027" s="92"/>
      <c r="O1027" s="92"/>
      <c r="P1027" s="92"/>
      <c r="Q1027" s="92"/>
    </row>
    <row r="1028" spans="1:17" s="69" customFormat="1" ht="10.5">
      <c r="A1028" s="75"/>
      <c r="J1028" s="92"/>
      <c r="K1028" s="92"/>
      <c r="L1028" s="92"/>
      <c r="M1028" s="92"/>
      <c r="N1028" s="92"/>
      <c r="O1028" s="92"/>
      <c r="P1028" s="92"/>
      <c r="Q1028" s="92"/>
    </row>
    <row r="1029" spans="1:17" s="69" customFormat="1" ht="10.5">
      <c r="A1029" s="75"/>
      <c r="J1029" s="92"/>
      <c r="K1029" s="92"/>
      <c r="L1029" s="92"/>
      <c r="M1029" s="92"/>
      <c r="N1029" s="92"/>
      <c r="O1029" s="92"/>
      <c r="P1029" s="92"/>
      <c r="Q1029" s="92"/>
    </row>
    <row r="1030" spans="1:17" s="69" customFormat="1" ht="10.5">
      <c r="A1030" s="75"/>
      <c r="J1030" s="92"/>
      <c r="K1030" s="92"/>
      <c r="L1030" s="92"/>
      <c r="M1030" s="92"/>
      <c r="N1030" s="92"/>
      <c r="O1030" s="92"/>
      <c r="P1030" s="92"/>
      <c r="Q1030" s="92"/>
    </row>
    <row r="1031" spans="1:17" s="69" customFormat="1" ht="10.5">
      <c r="A1031" s="75"/>
      <c r="J1031" s="92"/>
      <c r="K1031" s="92"/>
      <c r="L1031" s="92"/>
      <c r="M1031" s="92"/>
      <c r="N1031" s="92"/>
      <c r="O1031" s="92"/>
      <c r="P1031" s="92"/>
      <c r="Q1031" s="92"/>
    </row>
    <row r="1032" spans="1:17" s="69" customFormat="1" ht="10.5">
      <c r="A1032" s="75"/>
      <c r="J1032" s="92"/>
      <c r="K1032" s="92"/>
      <c r="L1032" s="92"/>
      <c r="M1032" s="92"/>
      <c r="N1032" s="92"/>
      <c r="O1032" s="92"/>
      <c r="P1032" s="92"/>
      <c r="Q1032" s="92"/>
    </row>
    <row r="1033" spans="1:17" s="69" customFormat="1" ht="10.5">
      <c r="A1033" s="75"/>
      <c r="J1033" s="92"/>
      <c r="K1033" s="92"/>
      <c r="L1033" s="92"/>
      <c r="M1033" s="92"/>
      <c r="N1033" s="92"/>
      <c r="O1033" s="92"/>
      <c r="P1033" s="92"/>
      <c r="Q1033" s="92"/>
    </row>
    <row r="1034" spans="1:17" s="69" customFormat="1" ht="10.5">
      <c r="A1034" s="75"/>
      <c r="J1034" s="92"/>
      <c r="K1034" s="92"/>
      <c r="L1034" s="92"/>
      <c r="M1034" s="92"/>
      <c r="N1034" s="92"/>
      <c r="O1034" s="92"/>
      <c r="P1034" s="92"/>
      <c r="Q1034" s="92"/>
    </row>
    <row r="1035" spans="1:17" s="69" customFormat="1" ht="10.5">
      <c r="A1035" s="75"/>
      <c r="J1035" s="92"/>
      <c r="K1035" s="92"/>
      <c r="L1035" s="92"/>
      <c r="M1035" s="92"/>
      <c r="N1035" s="92"/>
      <c r="O1035" s="92"/>
      <c r="P1035" s="92"/>
      <c r="Q1035" s="92"/>
    </row>
    <row r="1036" spans="1:17" s="69" customFormat="1" ht="10.5">
      <c r="A1036" s="75"/>
      <c r="J1036" s="92"/>
      <c r="K1036" s="92"/>
      <c r="L1036" s="92"/>
      <c r="M1036" s="92"/>
      <c r="N1036" s="92"/>
      <c r="O1036" s="92"/>
      <c r="P1036" s="92"/>
      <c r="Q1036" s="92"/>
    </row>
    <row r="1037" spans="1:17" s="69" customFormat="1" ht="10.5">
      <c r="A1037" s="75"/>
      <c r="J1037" s="92"/>
      <c r="K1037" s="92"/>
      <c r="L1037" s="92"/>
      <c r="M1037" s="92"/>
      <c r="N1037" s="92"/>
      <c r="O1037" s="92"/>
      <c r="P1037" s="92"/>
      <c r="Q1037" s="92"/>
    </row>
    <row r="1038" spans="1:17" s="69" customFormat="1" ht="10.5">
      <c r="A1038" s="75"/>
      <c r="J1038" s="92"/>
      <c r="K1038" s="92"/>
      <c r="L1038" s="92"/>
      <c r="M1038" s="92"/>
      <c r="N1038" s="92"/>
      <c r="O1038" s="92"/>
      <c r="P1038" s="92"/>
      <c r="Q1038" s="92"/>
    </row>
    <row r="1039" spans="1:17" s="69" customFormat="1" ht="10.5">
      <c r="A1039" s="75"/>
      <c r="J1039" s="92"/>
      <c r="K1039" s="92"/>
      <c r="L1039" s="92"/>
      <c r="M1039" s="92"/>
      <c r="N1039" s="92"/>
      <c r="O1039" s="92"/>
      <c r="P1039" s="92"/>
      <c r="Q1039" s="92"/>
    </row>
    <row r="1040" spans="1:17" s="69" customFormat="1" ht="10.5">
      <c r="A1040" s="75"/>
      <c r="J1040" s="92"/>
      <c r="K1040" s="92"/>
      <c r="L1040" s="92"/>
      <c r="M1040" s="92"/>
      <c r="N1040" s="92"/>
      <c r="O1040" s="92"/>
      <c r="P1040" s="92"/>
      <c r="Q1040" s="92"/>
    </row>
    <row r="1041" spans="1:17" s="69" customFormat="1" ht="10.5">
      <c r="A1041" s="75"/>
      <c r="J1041" s="92"/>
      <c r="K1041" s="92"/>
      <c r="L1041" s="92"/>
      <c r="M1041" s="92"/>
      <c r="N1041" s="92"/>
      <c r="O1041" s="92"/>
      <c r="P1041" s="92"/>
      <c r="Q1041" s="92"/>
    </row>
    <row r="1042" spans="1:17" s="69" customFormat="1" ht="10.5">
      <c r="A1042" s="75"/>
      <c r="J1042" s="92"/>
      <c r="K1042" s="92"/>
      <c r="L1042" s="92"/>
      <c r="M1042" s="92"/>
      <c r="N1042" s="92"/>
      <c r="O1042" s="92"/>
      <c r="P1042" s="92"/>
      <c r="Q1042" s="92"/>
    </row>
    <row r="1043" spans="1:17" s="69" customFormat="1" ht="10.5">
      <c r="A1043" s="75"/>
      <c r="J1043" s="92"/>
      <c r="K1043" s="92"/>
      <c r="L1043" s="92"/>
      <c r="M1043" s="92"/>
      <c r="N1043" s="92"/>
      <c r="O1043" s="92"/>
      <c r="P1043" s="92"/>
      <c r="Q1043" s="92"/>
    </row>
    <row r="1044" spans="1:17" s="69" customFormat="1" ht="10.5">
      <c r="A1044" s="75"/>
      <c r="J1044" s="92"/>
      <c r="K1044" s="92"/>
      <c r="L1044" s="92"/>
      <c r="M1044" s="92"/>
      <c r="N1044" s="92"/>
      <c r="O1044" s="92"/>
      <c r="P1044" s="92"/>
      <c r="Q1044" s="92"/>
    </row>
    <row r="1045" spans="1:17" s="69" customFormat="1" ht="10.5">
      <c r="A1045" s="75"/>
      <c r="J1045" s="92"/>
      <c r="K1045" s="92"/>
      <c r="L1045" s="92"/>
      <c r="M1045" s="92"/>
      <c r="N1045" s="92"/>
      <c r="O1045" s="92"/>
      <c r="P1045" s="92"/>
      <c r="Q1045" s="92"/>
    </row>
    <row r="1046" spans="1:17" s="69" customFormat="1" ht="10.5">
      <c r="A1046" s="75"/>
      <c r="J1046" s="92"/>
      <c r="K1046" s="92"/>
      <c r="L1046" s="92"/>
      <c r="M1046" s="92"/>
      <c r="N1046" s="92"/>
      <c r="O1046" s="92"/>
      <c r="P1046" s="92"/>
      <c r="Q1046" s="92"/>
    </row>
    <row r="1047" spans="1:17" s="69" customFormat="1" ht="10.5">
      <c r="A1047" s="75"/>
      <c r="J1047" s="92"/>
      <c r="K1047" s="92"/>
      <c r="L1047" s="92"/>
      <c r="M1047" s="92"/>
      <c r="N1047" s="92"/>
      <c r="O1047" s="92"/>
      <c r="P1047" s="92"/>
      <c r="Q1047" s="92"/>
    </row>
    <row r="1048" spans="1:17" s="69" customFormat="1" ht="10.5">
      <c r="A1048" s="75"/>
      <c r="J1048" s="92"/>
      <c r="K1048" s="92"/>
      <c r="L1048" s="92"/>
      <c r="M1048" s="92"/>
      <c r="N1048" s="92"/>
      <c r="O1048" s="92"/>
      <c r="P1048" s="92"/>
      <c r="Q1048" s="92"/>
    </row>
    <row r="1049" spans="1:17" s="69" customFormat="1" ht="10.5">
      <c r="A1049" s="75"/>
      <c r="J1049" s="92"/>
      <c r="K1049" s="92"/>
      <c r="L1049" s="92"/>
      <c r="M1049" s="92"/>
      <c r="N1049" s="92"/>
      <c r="O1049" s="92"/>
      <c r="P1049" s="92"/>
      <c r="Q1049" s="92"/>
    </row>
    <row r="1050" spans="1:17" s="69" customFormat="1" ht="10.5">
      <c r="A1050" s="75"/>
      <c r="J1050" s="92"/>
      <c r="K1050" s="92"/>
      <c r="L1050" s="92"/>
      <c r="M1050" s="92"/>
      <c r="N1050" s="92"/>
      <c r="O1050" s="92"/>
      <c r="P1050" s="92"/>
      <c r="Q1050" s="92"/>
    </row>
    <row r="1051" spans="1:17" s="69" customFormat="1" ht="10.5">
      <c r="A1051" s="75"/>
      <c r="J1051" s="92"/>
      <c r="K1051" s="92"/>
      <c r="L1051" s="92"/>
      <c r="M1051" s="92"/>
      <c r="N1051" s="92"/>
      <c r="O1051" s="92"/>
      <c r="P1051" s="92"/>
      <c r="Q1051" s="92"/>
    </row>
    <row r="1052" spans="1:17" s="69" customFormat="1" ht="10.5">
      <c r="A1052" s="75"/>
      <c r="J1052" s="92"/>
      <c r="K1052" s="92"/>
      <c r="L1052" s="92"/>
      <c r="M1052" s="92"/>
      <c r="N1052" s="92"/>
      <c r="O1052" s="92"/>
      <c r="P1052" s="92"/>
      <c r="Q1052" s="92"/>
    </row>
    <row r="1053" spans="1:17" s="69" customFormat="1" ht="10.5">
      <c r="A1053" s="75"/>
      <c r="J1053" s="92"/>
      <c r="K1053" s="92"/>
      <c r="L1053" s="92"/>
      <c r="M1053" s="92"/>
      <c r="N1053" s="92"/>
      <c r="O1053" s="92"/>
      <c r="P1053" s="92"/>
      <c r="Q1053" s="92"/>
    </row>
    <row r="1054" spans="1:17" s="69" customFormat="1" ht="10.5">
      <c r="A1054" s="75"/>
      <c r="J1054" s="92"/>
      <c r="K1054" s="92"/>
      <c r="L1054" s="92"/>
      <c r="M1054" s="92"/>
      <c r="N1054" s="92"/>
      <c r="O1054" s="92"/>
      <c r="P1054" s="92"/>
      <c r="Q1054" s="92"/>
    </row>
    <row r="1055" spans="1:17" s="69" customFormat="1" ht="10.5">
      <c r="A1055" s="75"/>
      <c r="J1055" s="92"/>
      <c r="K1055" s="92"/>
      <c r="L1055" s="92"/>
      <c r="M1055" s="92"/>
      <c r="N1055" s="92"/>
      <c r="O1055" s="92"/>
      <c r="P1055" s="92"/>
      <c r="Q1055" s="92"/>
    </row>
    <row r="1056" spans="1:17" s="69" customFormat="1" ht="10.5">
      <c r="A1056" s="75"/>
      <c r="J1056" s="92"/>
      <c r="K1056" s="92"/>
      <c r="L1056" s="92"/>
      <c r="M1056" s="92"/>
      <c r="N1056" s="92"/>
      <c r="O1056" s="92"/>
      <c r="P1056" s="92"/>
      <c r="Q1056" s="92"/>
    </row>
    <row r="1057" spans="1:17" s="69" customFormat="1" ht="10.5">
      <c r="A1057" s="75"/>
      <c r="J1057" s="92"/>
      <c r="K1057" s="92"/>
      <c r="L1057" s="92"/>
      <c r="M1057" s="92"/>
      <c r="N1057" s="92"/>
      <c r="O1057" s="92"/>
      <c r="P1057" s="92"/>
      <c r="Q1057" s="92"/>
    </row>
    <row r="1058" spans="1:17" s="69" customFormat="1" ht="10.5">
      <c r="A1058" s="75"/>
      <c r="J1058" s="92"/>
      <c r="K1058" s="92"/>
      <c r="L1058" s="92"/>
      <c r="M1058" s="92"/>
      <c r="N1058" s="92"/>
      <c r="O1058" s="92"/>
      <c r="P1058" s="92"/>
      <c r="Q1058" s="92"/>
    </row>
    <row r="1059" spans="1:17" s="69" customFormat="1" ht="10.5">
      <c r="A1059" s="75"/>
      <c r="J1059" s="92"/>
      <c r="K1059" s="92"/>
      <c r="L1059" s="92"/>
      <c r="M1059" s="92"/>
      <c r="N1059" s="92"/>
      <c r="O1059" s="92"/>
      <c r="P1059" s="92"/>
      <c r="Q1059" s="92"/>
    </row>
    <row r="1060" spans="1:17" s="69" customFormat="1" ht="10.5">
      <c r="A1060" s="75"/>
      <c r="J1060" s="92"/>
      <c r="K1060" s="92"/>
      <c r="L1060" s="92"/>
      <c r="M1060" s="92"/>
      <c r="N1060" s="92"/>
      <c r="O1060" s="92"/>
      <c r="P1060" s="92"/>
      <c r="Q1060" s="92"/>
    </row>
    <row r="1061" spans="1:17" s="69" customFormat="1" ht="10.5">
      <c r="A1061" s="75"/>
      <c r="J1061" s="92"/>
      <c r="K1061" s="92"/>
      <c r="L1061" s="92"/>
      <c r="M1061" s="92"/>
      <c r="N1061" s="92"/>
      <c r="O1061" s="92"/>
      <c r="P1061" s="92"/>
      <c r="Q1061" s="92"/>
    </row>
    <row r="1062" spans="1:17" s="69" customFormat="1" ht="10.5">
      <c r="A1062" s="75"/>
      <c r="J1062" s="92"/>
      <c r="K1062" s="92"/>
      <c r="L1062" s="92"/>
      <c r="M1062" s="92"/>
      <c r="N1062" s="92"/>
      <c r="O1062" s="92"/>
      <c r="P1062" s="92"/>
      <c r="Q1062" s="92"/>
    </row>
    <row r="1063" spans="1:17" s="69" customFormat="1" ht="10.5">
      <c r="A1063" s="75"/>
      <c r="J1063" s="92"/>
      <c r="K1063" s="92"/>
      <c r="L1063" s="92"/>
      <c r="M1063" s="92"/>
      <c r="N1063" s="92"/>
      <c r="O1063" s="92"/>
      <c r="P1063" s="92"/>
      <c r="Q1063" s="92"/>
    </row>
    <row r="1064" spans="1:17" s="69" customFormat="1" ht="10.5">
      <c r="A1064" s="75"/>
      <c r="J1064" s="92"/>
      <c r="K1064" s="92"/>
      <c r="L1064" s="92"/>
      <c r="M1064" s="92"/>
      <c r="N1064" s="92"/>
      <c r="O1064" s="92"/>
      <c r="P1064" s="92"/>
      <c r="Q1064" s="92"/>
    </row>
    <row r="1065" spans="1:17" s="69" customFormat="1" ht="10.5">
      <c r="A1065" s="75"/>
      <c r="J1065" s="92"/>
      <c r="K1065" s="92"/>
      <c r="L1065" s="92"/>
      <c r="M1065" s="92"/>
      <c r="N1065" s="92"/>
      <c r="O1065" s="92"/>
      <c r="P1065" s="92"/>
      <c r="Q1065" s="92"/>
    </row>
    <row r="1066" spans="1:17" s="69" customFormat="1" ht="10.5">
      <c r="A1066" s="75"/>
      <c r="J1066" s="92"/>
      <c r="K1066" s="92"/>
      <c r="L1066" s="92"/>
      <c r="M1066" s="92"/>
      <c r="N1066" s="92"/>
      <c r="O1066" s="92"/>
      <c r="P1066" s="92"/>
      <c r="Q1066" s="92"/>
    </row>
    <row r="1067" spans="1:17" s="69" customFormat="1" ht="10.5">
      <c r="A1067" s="75"/>
      <c r="J1067" s="92"/>
      <c r="K1067" s="92"/>
      <c r="L1067" s="92"/>
      <c r="M1067" s="92"/>
      <c r="N1067" s="92"/>
      <c r="O1067" s="92"/>
      <c r="P1067" s="92"/>
      <c r="Q1067" s="92"/>
    </row>
    <row r="1068" spans="1:17" s="69" customFormat="1" ht="10.5">
      <c r="A1068" s="75"/>
      <c r="J1068" s="92"/>
      <c r="K1068" s="92"/>
      <c r="L1068" s="92"/>
      <c r="M1068" s="92"/>
      <c r="N1068" s="92"/>
      <c r="O1068" s="92"/>
      <c r="P1068" s="92"/>
      <c r="Q1068" s="92"/>
    </row>
    <row r="1069" spans="1:17" s="69" customFormat="1" ht="10.5">
      <c r="A1069" s="75"/>
      <c r="J1069" s="92"/>
      <c r="K1069" s="92"/>
      <c r="L1069" s="92"/>
      <c r="M1069" s="92"/>
      <c r="N1069" s="92"/>
      <c r="O1069" s="92"/>
      <c r="P1069" s="92"/>
      <c r="Q1069" s="92"/>
    </row>
    <row r="1070" spans="1:17" s="69" customFormat="1" ht="10.5">
      <c r="A1070" s="75"/>
      <c r="J1070" s="92"/>
      <c r="K1070" s="92"/>
      <c r="L1070" s="92"/>
      <c r="M1070" s="92"/>
      <c r="N1070" s="92"/>
      <c r="O1070" s="92"/>
      <c r="P1070" s="92"/>
      <c r="Q1070" s="92"/>
    </row>
    <row r="1071" spans="1:17" s="69" customFormat="1" ht="10.5">
      <c r="A1071" s="75"/>
      <c r="J1071" s="92"/>
      <c r="K1071" s="92"/>
      <c r="L1071" s="92"/>
      <c r="M1071" s="92"/>
      <c r="N1071" s="92"/>
      <c r="O1071" s="92"/>
      <c r="P1071" s="92"/>
      <c r="Q1071" s="92"/>
    </row>
    <row r="1072" spans="1:17" s="69" customFormat="1" ht="10.5">
      <c r="A1072" s="75"/>
      <c r="J1072" s="92"/>
      <c r="K1072" s="92"/>
      <c r="L1072" s="92"/>
      <c r="M1072" s="92"/>
      <c r="N1072" s="92"/>
      <c r="O1072" s="92"/>
      <c r="P1072" s="92"/>
      <c r="Q1072" s="92"/>
    </row>
    <row r="1073" spans="1:17" s="69" customFormat="1" ht="10.5">
      <c r="A1073" s="75"/>
      <c r="J1073" s="92"/>
      <c r="K1073" s="92"/>
      <c r="L1073" s="92"/>
      <c r="M1073" s="92"/>
      <c r="N1073" s="92"/>
      <c r="O1073" s="92"/>
      <c r="P1073" s="92"/>
      <c r="Q1073" s="92"/>
    </row>
    <row r="1074" spans="1:17" s="69" customFormat="1" ht="10.5">
      <c r="A1074" s="75"/>
      <c r="J1074" s="92"/>
      <c r="K1074" s="92"/>
      <c r="L1074" s="92"/>
      <c r="M1074" s="92"/>
      <c r="N1074" s="92"/>
      <c r="O1074" s="92"/>
      <c r="P1074" s="92"/>
      <c r="Q1074" s="92"/>
    </row>
    <row r="1075" spans="1:17" s="69" customFormat="1" ht="10.5">
      <c r="A1075" s="75"/>
      <c r="J1075" s="92"/>
      <c r="K1075" s="92"/>
      <c r="L1075" s="92"/>
      <c r="M1075" s="92"/>
      <c r="N1075" s="92"/>
      <c r="O1075" s="92"/>
      <c r="P1075" s="92"/>
      <c r="Q1075" s="92"/>
    </row>
    <row r="1076" spans="1:17" s="69" customFormat="1" ht="10.5">
      <c r="A1076" s="75"/>
      <c r="J1076" s="92"/>
      <c r="K1076" s="92"/>
      <c r="L1076" s="92"/>
      <c r="M1076" s="92"/>
      <c r="N1076" s="92"/>
      <c r="O1076" s="92"/>
      <c r="P1076" s="92"/>
      <c r="Q1076" s="92"/>
    </row>
    <row r="1077" spans="1:17" s="69" customFormat="1" ht="10.5">
      <c r="A1077" s="75"/>
      <c r="J1077" s="92"/>
      <c r="K1077" s="92"/>
      <c r="L1077" s="92"/>
      <c r="M1077" s="92"/>
      <c r="N1077" s="92"/>
      <c r="O1077" s="92"/>
      <c r="P1077" s="92"/>
      <c r="Q1077" s="92"/>
    </row>
    <row r="1078" spans="1:17" s="69" customFormat="1" ht="10.5">
      <c r="A1078" s="75"/>
      <c r="J1078" s="92"/>
      <c r="K1078" s="92"/>
      <c r="L1078" s="92"/>
      <c r="M1078" s="92"/>
      <c r="N1078" s="92"/>
      <c r="O1078" s="92"/>
      <c r="P1078" s="92"/>
      <c r="Q1078" s="92"/>
    </row>
    <row r="1079" spans="1:17" s="69" customFormat="1" ht="10.5">
      <c r="A1079" s="75"/>
      <c r="J1079" s="92"/>
      <c r="K1079" s="92"/>
      <c r="L1079" s="92"/>
      <c r="M1079" s="92"/>
      <c r="N1079" s="92"/>
      <c r="O1079" s="92"/>
      <c r="P1079" s="92"/>
      <c r="Q1079" s="92"/>
    </row>
    <row r="1080" spans="1:17" s="69" customFormat="1" ht="10.5">
      <c r="A1080" s="75"/>
      <c r="J1080" s="92"/>
      <c r="K1080" s="92"/>
      <c r="L1080" s="92"/>
      <c r="M1080" s="92"/>
      <c r="N1080" s="92"/>
      <c r="O1080" s="92"/>
      <c r="P1080" s="92"/>
      <c r="Q1080" s="92"/>
    </row>
    <row r="1081" spans="1:17" s="69" customFormat="1" ht="10.5">
      <c r="A1081" s="75"/>
      <c r="J1081" s="92"/>
      <c r="K1081" s="92"/>
      <c r="L1081" s="92"/>
      <c r="M1081" s="92"/>
      <c r="N1081" s="92"/>
      <c r="O1081" s="92"/>
      <c r="P1081" s="92"/>
      <c r="Q1081" s="92"/>
    </row>
    <row r="1082" spans="1:17" s="69" customFormat="1" ht="10.5">
      <c r="A1082" s="75"/>
      <c r="J1082" s="92"/>
      <c r="K1082" s="92"/>
      <c r="L1082" s="92"/>
      <c r="M1082" s="92"/>
      <c r="N1082" s="92"/>
      <c r="O1082" s="92"/>
      <c r="P1082" s="92"/>
      <c r="Q1082" s="92"/>
    </row>
    <row r="1083" spans="1:17" s="69" customFormat="1" ht="10.5">
      <c r="A1083" s="75"/>
      <c r="J1083" s="92"/>
      <c r="K1083" s="92"/>
      <c r="L1083" s="92"/>
      <c r="M1083" s="92"/>
      <c r="N1083" s="92"/>
      <c r="O1083" s="92"/>
      <c r="P1083" s="92"/>
      <c r="Q1083" s="92"/>
    </row>
    <row r="1084" spans="1:17" s="69" customFormat="1" ht="10.5">
      <c r="A1084" s="75"/>
      <c r="J1084" s="92"/>
      <c r="K1084" s="92"/>
      <c r="L1084" s="92"/>
      <c r="M1084" s="92"/>
      <c r="N1084" s="92"/>
      <c r="O1084" s="92"/>
      <c r="P1084" s="92"/>
      <c r="Q1084" s="92"/>
    </row>
    <row r="1085" spans="1:17" s="69" customFormat="1" ht="10.5">
      <c r="A1085" s="75"/>
      <c r="J1085" s="92"/>
      <c r="K1085" s="92"/>
      <c r="L1085" s="92"/>
      <c r="M1085" s="92"/>
      <c r="N1085" s="92"/>
      <c r="O1085" s="92"/>
      <c r="P1085" s="92"/>
      <c r="Q1085" s="92"/>
    </row>
    <row r="1086" spans="1:17" s="69" customFormat="1" ht="10.5">
      <c r="A1086" s="75"/>
      <c r="J1086" s="92"/>
      <c r="K1086" s="92"/>
      <c r="L1086" s="92"/>
      <c r="M1086" s="92"/>
      <c r="N1086" s="92"/>
      <c r="O1086" s="92"/>
      <c r="P1086" s="92"/>
      <c r="Q1086" s="92"/>
    </row>
    <row r="1087" spans="1:17" s="69" customFormat="1" ht="10.5">
      <c r="A1087" s="75"/>
      <c r="J1087" s="92"/>
      <c r="K1087" s="92"/>
      <c r="L1087" s="92"/>
      <c r="M1087" s="92"/>
      <c r="N1087" s="92"/>
      <c r="O1087" s="92"/>
      <c r="P1087" s="92"/>
      <c r="Q1087" s="92"/>
    </row>
    <row r="1088" spans="1:17" s="69" customFormat="1" ht="10.5">
      <c r="A1088" s="75"/>
      <c r="J1088" s="92"/>
      <c r="K1088" s="92"/>
      <c r="L1088" s="92"/>
      <c r="M1088" s="92"/>
      <c r="N1088" s="92"/>
      <c r="O1088" s="92"/>
      <c r="P1088" s="92"/>
      <c r="Q1088" s="92"/>
    </row>
    <row r="1089" spans="1:17" s="69" customFormat="1" ht="10.5">
      <c r="A1089" s="75"/>
      <c r="J1089" s="92"/>
      <c r="K1089" s="92"/>
      <c r="L1089" s="92"/>
      <c r="M1089" s="92"/>
      <c r="N1089" s="92"/>
      <c r="O1089" s="92"/>
      <c r="P1089" s="92"/>
      <c r="Q1089" s="92"/>
    </row>
    <row r="1090" spans="1:17" s="69" customFormat="1" ht="10.5">
      <c r="A1090" s="75"/>
      <c r="J1090" s="92"/>
      <c r="K1090" s="92"/>
      <c r="L1090" s="92"/>
      <c r="M1090" s="92"/>
      <c r="N1090" s="92"/>
      <c r="O1090" s="92"/>
      <c r="P1090" s="92"/>
      <c r="Q1090" s="92"/>
    </row>
    <row r="1091" spans="1:17" s="69" customFormat="1" ht="10.5">
      <c r="A1091" s="75"/>
      <c r="J1091" s="92"/>
      <c r="K1091" s="92"/>
      <c r="L1091" s="92"/>
      <c r="M1091" s="92"/>
      <c r="N1091" s="92"/>
      <c r="O1091" s="92"/>
      <c r="P1091" s="92"/>
      <c r="Q1091" s="92"/>
    </row>
    <row r="1092" spans="1:17" s="69" customFormat="1" ht="10.5">
      <c r="A1092" s="75"/>
      <c r="J1092" s="92"/>
      <c r="K1092" s="92"/>
      <c r="L1092" s="92"/>
      <c r="M1092" s="92"/>
      <c r="N1092" s="92"/>
      <c r="O1092" s="92"/>
      <c r="P1092" s="92"/>
      <c r="Q1092" s="92"/>
    </row>
    <row r="1093" spans="1:17" s="69" customFormat="1" ht="10.5">
      <c r="A1093" s="75"/>
      <c r="J1093" s="92"/>
      <c r="K1093" s="92"/>
      <c r="L1093" s="92"/>
      <c r="M1093" s="92"/>
      <c r="N1093" s="92"/>
      <c r="O1093" s="92"/>
      <c r="P1093" s="92"/>
      <c r="Q1093" s="92"/>
    </row>
    <row r="1094" spans="1:17" s="69" customFormat="1" ht="10.5">
      <c r="A1094" s="75"/>
      <c r="J1094" s="92"/>
      <c r="K1094" s="92"/>
      <c r="L1094" s="92"/>
      <c r="M1094" s="92"/>
      <c r="N1094" s="92"/>
      <c r="O1094" s="92"/>
      <c r="P1094" s="92"/>
      <c r="Q1094" s="92"/>
    </row>
    <row r="1095" spans="1:17" s="69" customFormat="1" ht="10.5">
      <c r="A1095" s="75"/>
      <c r="J1095" s="92"/>
      <c r="K1095" s="92"/>
      <c r="L1095" s="92"/>
      <c r="M1095" s="92"/>
      <c r="N1095" s="92"/>
      <c r="O1095" s="92"/>
      <c r="P1095" s="92"/>
      <c r="Q1095" s="92"/>
    </row>
    <row r="1096" spans="1:17" s="69" customFormat="1" ht="10.5">
      <c r="A1096" s="75"/>
      <c r="J1096" s="92"/>
      <c r="K1096" s="92"/>
      <c r="L1096" s="92"/>
      <c r="M1096" s="92"/>
      <c r="N1096" s="92"/>
      <c r="O1096" s="92"/>
      <c r="P1096" s="92"/>
      <c r="Q1096" s="92"/>
    </row>
    <row r="1097" spans="1:17" s="69" customFormat="1" ht="10.5">
      <c r="A1097" s="75"/>
      <c r="J1097" s="92"/>
      <c r="K1097" s="92"/>
      <c r="L1097" s="92"/>
      <c r="M1097" s="92"/>
      <c r="N1097" s="92"/>
      <c r="O1097" s="92"/>
      <c r="P1097" s="92"/>
      <c r="Q1097" s="92"/>
    </row>
    <row r="1098" spans="1:17" s="69" customFormat="1" ht="10.5">
      <c r="A1098" s="75"/>
      <c r="J1098" s="92"/>
      <c r="K1098" s="92"/>
      <c r="L1098" s="92"/>
      <c r="M1098" s="92"/>
      <c r="N1098" s="92"/>
      <c r="O1098" s="92"/>
      <c r="P1098" s="92"/>
      <c r="Q1098" s="92"/>
    </row>
    <row r="1099" spans="1:17" s="69" customFormat="1" ht="10.5">
      <c r="A1099" s="75"/>
      <c r="J1099" s="92"/>
      <c r="K1099" s="92"/>
      <c r="L1099" s="92"/>
      <c r="M1099" s="92"/>
      <c r="N1099" s="92"/>
      <c r="O1099" s="92"/>
      <c r="P1099" s="92"/>
      <c r="Q1099" s="92"/>
    </row>
    <row r="1100" spans="1:17" s="69" customFormat="1" ht="10.5">
      <c r="A1100" s="75"/>
      <c r="J1100" s="92"/>
      <c r="K1100" s="92"/>
      <c r="L1100" s="92"/>
      <c r="M1100" s="92"/>
      <c r="N1100" s="92"/>
      <c r="O1100" s="92"/>
      <c r="P1100" s="92"/>
      <c r="Q1100" s="92"/>
    </row>
    <row r="1101" spans="1:17" s="69" customFormat="1" ht="10.5">
      <c r="A1101" s="75"/>
      <c r="J1101" s="92"/>
      <c r="K1101" s="92"/>
      <c r="L1101" s="92"/>
      <c r="M1101" s="92"/>
      <c r="N1101" s="92"/>
      <c r="O1101" s="92"/>
      <c r="P1101" s="92"/>
      <c r="Q1101" s="92"/>
    </row>
    <row r="1102" spans="1:17" s="69" customFormat="1" ht="10.5">
      <c r="A1102" s="75"/>
      <c r="J1102" s="92"/>
      <c r="K1102" s="92"/>
      <c r="L1102" s="92"/>
      <c r="M1102" s="92"/>
      <c r="N1102" s="92"/>
      <c r="O1102" s="92"/>
      <c r="P1102" s="92"/>
      <c r="Q1102" s="92"/>
    </row>
    <row r="1103" spans="1:17" s="69" customFormat="1" ht="10.5">
      <c r="A1103" s="75"/>
      <c r="J1103" s="92"/>
      <c r="K1103" s="92"/>
      <c r="L1103" s="92"/>
      <c r="M1103" s="92"/>
      <c r="N1103" s="92"/>
      <c r="O1103" s="92"/>
      <c r="P1103" s="92"/>
      <c r="Q1103" s="92"/>
    </row>
    <row r="1104" spans="1:17" s="69" customFormat="1" ht="10.5">
      <c r="A1104" s="75"/>
      <c r="J1104" s="92"/>
      <c r="K1104" s="92"/>
      <c r="L1104" s="92"/>
      <c r="M1104" s="92"/>
      <c r="N1104" s="92"/>
      <c r="O1104" s="92"/>
      <c r="P1104" s="92"/>
      <c r="Q1104" s="92"/>
    </row>
    <row r="1105" spans="1:17" s="69" customFormat="1" ht="10.5">
      <c r="A1105" s="75"/>
      <c r="J1105" s="92"/>
      <c r="K1105" s="92"/>
      <c r="L1105" s="92"/>
      <c r="M1105" s="92"/>
      <c r="N1105" s="92"/>
      <c r="O1105" s="92"/>
      <c r="P1105" s="92"/>
      <c r="Q1105" s="92"/>
    </row>
    <row r="1106" spans="1:17" s="69" customFormat="1" ht="10.5">
      <c r="A1106" s="75"/>
      <c r="J1106" s="92"/>
      <c r="K1106" s="92"/>
      <c r="L1106" s="92"/>
      <c r="M1106" s="92"/>
      <c r="N1106" s="92"/>
      <c r="O1106" s="92"/>
      <c r="P1106" s="92"/>
      <c r="Q1106" s="92"/>
    </row>
    <row r="1107" spans="1:17" s="69" customFormat="1" ht="10.5">
      <c r="A1107" s="75"/>
      <c r="J1107" s="92"/>
      <c r="K1107" s="92"/>
      <c r="L1107" s="92"/>
      <c r="M1107" s="92"/>
      <c r="N1107" s="92"/>
      <c r="O1107" s="92"/>
      <c r="P1107" s="92"/>
      <c r="Q1107" s="92"/>
    </row>
    <row r="1108" spans="1:17" s="69" customFormat="1" ht="10.5">
      <c r="A1108" s="75"/>
      <c r="J1108" s="92"/>
      <c r="K1108" s="92"/>
      <c r="L1108" s="92"/>
      <c r="M1108" s="92"/>
      <c r="N1108" s="92"/>
      <c r="O1108" s="92"/>
      <c r="P1108" s="92"/>
      <c r="Q1108" s="92"/>
    </row>
    <row r="1109" spans="1:17" s="69" customFormat="1" ht="10.5">
      <c r="A1109" s="75"/>
      <c r="J1109" s="92"/>
      <c r="K1109" s="92"/>
      <c r="L1109" s="92"/>
      <c r="M1109" s="92"/>
      <c r="N1109" s="92"/>
      <c r="O1109" s="92"/>
      <c r="P1109" s="92"/>
      <c r="Q1109" s="92"/>
    </row>
    <row r="1110" spans="1:17" s="69" customFormat="1" ht="10.5">
      <c r="A1110" s="75"/>
      <c r="J1110" s="92"/>
      <c r="K1110" s="92"/>
      <c r="L1110" s="92"/>
      <c r="M1110" s="92"/>
      <c r="N1110" s="92"/>
      <c r="O1110" s="92"/>
      <c r="P1110" s="92"/>
      <c r="Q1110" s="92"/>
    </row>
    <row r="1111" spans="1:17" s="69" customFormat="1" ht="10.5">
      <c r="A1111" s="75"/>
      <c r="J1111" s="92"/>
      <c r="K1111" s="92"/>
      <c r="L1111" s="92"/>
      <c r="M1111" s="92"/>
      <c r="N1111" s="92"/>
      <c r="O1111" s="92"/>
      <c r="P1111" s="92"/>
      <c r="Q1111" s="92"/>
    </row>
    <row r="1112" spans="1:17" s="69" customFormat="1" ht="10.5">
      <c r="A1112" s="75"/>
      <c r="J1112" s="92"/>
      <c r="K1112" s="92"/>
      <c r="L1112" s="92"/>
      <c r="M1112" s="92"/>
      <c r="N1112" s="92"/>
      <c r="O1112" s="92"/>
      <c r="P1112" s="92"/>
      <c r="Q1112" s="92"/>
    </row>
    <row r="1113" spans="1:17" s="69" customFormat="1" ht="10.5">
      <c r="A1113" s="75"/>
      <c r="J1113" s="92"/>
      <c r="K1113" s="92"/>
      <c r="L1113" s="92"/>
      <c r="M1113" s="92"/>
      <c r="N1113" s="92"/>
      <c r="O1113" s="92"/>
      <c r="P1113" s="92"/>
      <c r="Q1113" s="92"/>
    </row>
    <row r="1114" spans="1:17" s="69" customFormat="1" ht="10.5">
      <c r="A1114" s="75"/>
      <c r="J1114" s="92"/>
      <c r="K1114" s="92"/>
      <c r="L1114" s="92"/>
      <c r="M1114" s="92"/>
      <c r="N1114" s="92"/>
      <c r="O1114" s="92"/>
      <c r="P1114" s="92"/>
      <c r="Q1114" s="92"/>
    </row>
    <row r="1115" spans="1:17" s="69" customFormat="1" ht="10.5">
      <c r="A1115" s="75"/>
      <c r="J1115" s="92"/>
      <c r="K1115" s="92"/>
      <c r="L1115" s="92"/>
      <c r="M1115" s="92"/>
      <c r="N1115" s="92"/>
      <c r="O1115" s="92"/>
      <c r="P1115" s="92"/>
      <c r="Q1115" s="92"/>
    </row>
    <row r="1116" spans="1:17" s="69" customFormat="1" ht="10.5">
      <c r="A1116" s="75"/>
      <c r="J1116" s="92"/>
      <c r="K1116" s="92"/>
      <c r="L1116" s="92"/>
      <c r="M1116" s="92"/>
      <c r="N1116" s="92"/>
      <c r="O1116" s="92"/>
      <c r="P1116" s="92"/>
      <c r="Q1116" s="92"/>
    </row>
    <row r="1117" spans="1:17" s="69" customFormat="1" ht="10.5">
      <c r="A1117" s="75"/>
      <c r="J1117" s="92"/>
      <c r="K1117" s="92"/>
      <c r="L1117" s="92"/>
      <c r="M1117" s="92"/>
      <c r="N1117" s="92"/>
      <c r="O1117" s="92"/>
      <c r="P1117" s="92"/>
      <c r="Q1117" s="92"/>
    </row>
    <row r="1118" spans="1:17" s="69" customFormat="1" ht="10.5">
      <c r="A1118" s="75"/>
      <c r="J1118" s="92"/>
      <c r="K1118" s="92"/>
      <c r="L1118" s="92"/>
      <c r="M1118" s="92"/>
      <c r="N1118" s="92"/>
      <c r="O1118" s="92"/>
      <c r="P1118" s="92"/>
      <c r="Q1118" s="92"/>
    </row>
    <row r="1119" spans="1:17" s="69" customFormat="1" ht="10.5">
      <c r="A1119" s="75"/>
      <c r="J1119" s="92"/>
      <c r="K1119" s="92"/>
      <c r="L1119" s="92"/>
      <c r="M1119" s="92"/>
      <c r="N1119" s="92"/>
      <c r="O1119" s="92"/>
      <c r="P1119" s="92"/>
      <c r="Q1119" s="92"/>
    </row>
    <row r="1120" spans="1:17" s="69" customFormat="1" ht="10.5">
      <c r="A1120" s="75"/>
      <c r="J1120" s="92"/>
      <c r="K1120" s="92"/>
      <c r="L1120" s="92"/>
      <c r="M1120" s="92"/>
      <c r="N1120" s="92"/>
      <c r="O1120" s="92"/>
      <c r="P1120" s="92"/>
      <c r="Q1120" s="92"/>
    </row>
    <row r="1121" spans="1:17" s="69" customFormat="1" ht="10.5">
      <c r="A1121" s="75"/>
      <c r="J1121" s="92"/>
      <c r="K1121" s="92"/>
      <c r="L1121" s="92"/>
      <c r="M1121" s="92"/>
      <c r="N1121" s="92"/>
      <c r="O1121" s="92"/>
      <c r="P1121" s="92"/>
      <c r="Q1121" s="92"/>
    </row>
    <row r="1122" spans="1:17" s="69" customFormat="1" ht="10.5">
      <c r="A1122" s="75"/>
      <c r="J1122" s="92"/>
      <c r="K1122" s="92"/>
      <c r="L1122" s="92"/>
      <c r="M1122" s="92"/>
      <c r="N1122" s="92"/>
      <c r="O1122" s="92"/>
      <c r="P1122" s="92"/>
      <c r="Q1122" s="92"/>
    </row>
    <row r="1123" spans="1:17" s="69" customFormat="1" ht="10.5">
      <c r="A1123" s="75"/>
      <c r="J1123" s="92"/>
      <c r="K1123" s="92"/>
      <c r="L1123" s="92"/>
      <c r="M1123" s="92"/>
      <c r="N1123" s="92"/>
      <c r="O1123" s="92"/>
      <c r="P1123" s="92"/>
      <c r="Q1123" s="92"/>
    </row>
    <row r="1124" spans="1:17" s="69" customFormat="1" ht="10.5">
      <c r="A1124" s="75"/>
      <c r="J1124" s="92"/>
      <c r="K1124" s="92"/>
      <c r="L1124" s="92"/>
      <c r="M1124" s="92"/>
      <c r="N1124" s="92"/>
      <c r="O1124" s="92"/>
      <c r="P1124" s="92"/>
      <c r="Q1124" s="92"/>
    </row>
    <row r="1125" spans="1:17" s="69" customFormat="1" ht="10.5">
      <c r="A1125" s="75"/>
      <c r="J1125" s="92"/>
      <c r="K1125" s="92"/>
      <c r="L1125" s="92"/>
      <c r="M1125" s="92"/>
      <c r="N1125" s="92"/>
      <c r="O1125" s="92"/>
      <c r="P1125" s="92"/>
      <c r="Q1125" s="92"/>
    </row>
    <row r="1126" spans="1:17" s="69" customFormat="1" ht="10.5">
      <c r="A1126" s="75"/>
      <c r="J1126" s="92"/>
      <c r="K1126" s="92"/>
      <c r="L1126" s="92"/>
      <c r="M1126" s="92"/>
      <c r="N1126" s="92"/>
      <c r="O1126" s="92"/>
      <c r="P1126" s="92"/>
      <c r="Q1126" s="92"/>
    </row>
    <row r="1127" spans="1:17" s="69" customFormat="1" ht="10.5">
      <c r="A1127" s="75"/>
      <c r="J1127" s="92"/>
      <c r="K1127" s="92"/>
      <c r="L1127" s="92"/>
      <c r="M1127" s="92"/>
      <c r="N1127" s="92"/>
      <c r="O1127" s="92"/>
      <c r="P1127" s="92"/>
      <c r="Q1127" s="92"/>
    </row>
    <row r="1128" spans="1:17" s="69" customFormat="1" ht="10.5">
      <c r="A1128" s="75"/>
      <c r="J1128" s="92"/>
      <c r="K1128" s="92"/>
      <c r="L1128" s="92"/>
      <c r="M1128" s="92"/>
      <c r="N1128" s="92"/>
      <c r="O1128" s="92"/>
      <c r="P1128" s="92"/>
      <c r="Q1128" s="92"/>
    </row>
    <row r="1129" spans="1:17" s="69" customFormat="1" ht="10.5">
      <c r="A1129" s="75"/>
      <c r="J1129" s="92"/>
      <c r="K1129" s="92"/>
      <c r="L1129" s="92"/>
      <c r="M1129" s="92"/>
      <c r="N1129" s="92"/>
      <c r="O1129" s="92"/>
      <c r="P1129" s="92"/>
      <c r="Q1129" s="92"/>
    </row>
    <row r="1130" spans="1:17" s="69" customFormat="1" ht="10.5">
      <c r="A1130" s="75"/>
      <c r="J1130" s="92"/>
      <c r="K1130" s="92"/>
      <c r="L1130" s="92"/>
      <c r="M1130" s="92"/>
      <c r="N1130" s="92"/>
      <c r="O1130" s="92"/>
      <c r="P1130" s="92"/>
      <c r="Q1130" s="92"/>
    </row>
    <row r="1131" spans="1:17" s="69" customFormat="1" ht="10.5">
      <c r="A1131" s="75"/>
      <c r="J1131" s="92"/>
      <c r="K1131" s="92"/>
      <c r="L1131" s="92"/>
      <c r="M1131" s="92"/>
      <c r="N1131" s="92"/>
      <c r="O1131" s="92"/>
      <c r="P1131" s="92"/>
      <c r="Q1131" s="92"/>
    </row>
    <row r="1132" spans="1:17" s="69" customFormat="1" ht="10.5">
      <c r="A1132" s="75"/>
      <c r="J1132" s="92"/>
      <c r="K1132" s="92"/>
      <c r="L1132" s="92"/>
      <c r="M1132" s="92"/>
      <c r="N1132" s="92"/>
      <c r="O1132" s="92"/>
      <c r="P1132" s="92"/>
      <c r="Q1132" s="92"/>
    </row>
    <row r="1133" spans="1:17" s="69" customFormat="1" ht="10.5">
      <c r="A1133" s="75"/>
      <c r="J1133" s="92"/>
      <c r="K1133" s="92"/>
      <c r="L1133" s="92"/>
      <c r="M1133" s="92"/>
      <c r="N1133" s="92"/>
      <c r="O1133" s="92"/>
      <c r="P1133" s="92"/>
      <c r="Q1133" s="92"/>
    </row>
    <row r="1134" spans="1:17" s="69" customFormat="1" ht="10.5">
      <c r="A1134" s="75"/>
      <c r="J1134" s="92"/>
      <c r="K1134" s="92"/>
      <c r="L1134" s="92"/>
      <c r="M1134" s="92"/>
      <c r="N1134" s="92"/>
      <c r="O1134" s="92"/>
      <c r="P1134" s="92"/>
      <c r="Q1134" s="92"/>
    </row>
    <row r="1135" spans="1:17" s="69" customFormat="1" ht="10.5">
      <c r="A1135" s="75"/>
      <c r="J1135" s="92"/>
      <c r="K1135" s="92"/>
      <c r="L1135" s="92"/>
      <c r="M1135" s="92"/>
      <c r="N1135" s="92"/>
      <c r="O1135" s="92"/>
      <c r="P1135" s="92"/>
      <c r="Q1135" s="92"/>
    </row>
    <row r="1136" spans="1:17" s="69" customFormat="1" ht="10.5">
      <c r="A1136" s="75"/>
      <c r="J1136" s="92"/>
      <c r="K1136" s="92"/>
      <c r="L1136" s="92"/>
      <c r="M1136" s="92"/>
      <c r="N1136" s="92"/>
      <c r="O1136" s="92"/>
      <c r="P1136" s="92"/>
      <c r="Q1136" s="92"/>
    </row>
    <row r="1137" spans="1:17" s="69" customFormat="1" ht="10.5">
      <c r="A1137" s="75"/>
      <c r="J1137" s="92"/>
      <c r="K1137" s="92"/>
      <c r="L1137" s="92"/>
      <c r="M1137" s="92"/>
      <c r="N1137" s="92"/>
      <c r="O1137" s="92"/>
      <c r="P1137" s="92"/>
      <c r="Q1137" s="92"/>
    </row>
    <row r="1138" spans="1:17" s="69" customFormat="1" ht="10.5">
      <c r="A1138" s="75"/>
      <c r="J1138" s="92"/>
      <c r="K1138" s="92"/>
      <c r="L1138" s="92"/>
      <c r="M1138" s="92"/>
      <c r="N1138" s="92"/>
      <c r="O1138" s="92"/>
      <c r="P1138" s="92"/>
      <c r="Q1138" s="92"/>
    </row>
    <row r="1139" spans="1:17" s="69" customFormat="1" ht="10.5">
      <c r="A1139" s="75"/>
      <c r="J1139" s="92"/>
      <c r="K1139" s="92"/>
      <c r="L1139" s="92"/>
      <c r="M1139" s="92"/>
      <c r="N1139" s="92"/>
      <c r="O1139" s="92"/>
      <c r="P1139" s="92"/>
      <c r="Q1139" s="92"/>
    </row>
    <row r="1140" spans="1:17" s="69" customFormat="1" ht="10.5">
      <c r="A1140" s="75"/>
      <c r="J1140" s="92"/>
      <c r="K1140" s="92"/>
      <c r="L1140" s="92"/>
      <c r="M1140" s="92"/>
      <c r="N1140" s="92"/>
      <c r="O1140" s="92"/>
      <c r="P1140" s="92"/>
      <c r="Q1140" s="92"/>
    </row>
    <row r="1141" spans="1:17" s="69" customFormat="1" ht="10.5">
      <c r="A1141" s="75"/>
      <c r="J1141" s="92"/>
      <c r="K1141" s="92"/>
      <c r="L1141" s="92"/>
      <c r="M1141" s="92"/>
      <c r="N1141" s="92"/>
      <c r="O1141" s="92"/>
      <c r="P1141" s="92"/>
      <c r="Q1141" s="92"/>
    </row>
    <row r="1142" spans="1:17" s="69" customFormat="1" ht="10.5">
      <c r="A1142" s="75"/>
      <c r="J1142" s="92"/>
      <c r="K1142" s="92"/>
      <c r="L1142" s="92"/>
      <c r="M1142" s="92"/>
      <c r="N1142" s="92"/>
      <c r="O1142" s="92"/>
      <c r="P1142" s="92"/>
      <c r="Q1142" s="92"/>
    </row>
    <row r="1143" spans="1:17" s="69" customFormat="1" ht="10.5">
      <c r="A1143" s="75"/>
      <c r="J1143" s="92"/>
      <c r="K1143" s="92"/>
      <c r="L1143" s="92"/>
      <c r="M1143" s="92"/>
      <c r="N1143" s="92"/>
      <c r="O1143" s="92"/>
      <c r="P1143" s="92"/>
      <c r="Q1143" s="92"/>
    </row>
    <row r="1144" spans="1:17" s="69" customFormat="1" ht="10.5">
      <c r="A1144" s="75"/>
      <c r="J1144" s="92"/>
      <c r="K1144" s="92"/>
      <c r="L1144" s="92"/>
      <c r="M1144" s="92"/>
      <c r="N1144" s="92"/>
      <c r="O1144" s="92"/>
      <c r="P1144" s="92"/>
      <c r="Q1144" s="92"/>
    </row>
    <row r="1145" spans="1:17" s="69" customFormat="1" ht="10.5">
      <c r="A1145" s="75"/>
      <c r="J1145" s="92"/>
      <c r="K1145" s="92"/>
      <c r="L1145" s="92"/>
      <c r="M1145" s="92"/>
      <c r="N1145" s="92"/>
      <c r="O1145" s="92"/>
      <c r="P1145" s="92"/>
      <c r="Q1145" s="92"/>
    </row>
    <row r="1146" spans="1:17" s="69" customFormat="1" ht="10.5">
      <c r="A1146" s="75"/>
      <c r="J1146" s="92"/>
      <c r="K1146" s="92"/>
      <c r="L1146" s="92"/>
      <c r="M1146" s="92"/>
      <c r="N1146" s="92"/>
      <c r="O1146" s="92"/>
      <c r="P1146" s="92"/>
      <c r="Q1146" s="92"/>
    </row>
    <row r="1147" spans="1:17" s="69" customFormat="1" ht="10.5">
      <c r="A1147" s="75"/>
      <c r="J1147" s="92"/>
      <c r="K1147" s="92"/>
      <c r="L1147" s="92"/>
      <c r="M1147" s="92"/>
      <c r="N1147" s="92"/>
      <c r="O1147" s="92"/>
      <c r="P1147" s="92"/>
      <c r="Q1147" s="92"/>
    </row>
    <row r="1148" spans="1:17" s="69" customFormat="1" ht="10.5">
      <c r="A1148" s="75"/>
      <c r="J1148" s="92"/>
      <c r="K1148" s="92"/>
      <c r="L1148" s="92"/>
      <c r="M1148" s="92"/>
      <c r="N1148" s="92"/>
      <c r="O1148" s="92"/>
      <c r="P1148" s="92"/>
      <c r="Q1148" s="92"/>
    </row>
    <row r="1149" spans="1:17" s="69" customFormat="1" ht="10.5">
      <c r="A1149" s="75"/>
      <c r="J1149" s="92"/>
      <c r="K1149" s="92"/>
      <c r="L1149" s="92"/>
      <c r="M1149" s="92"/>
      <c r="N1149" s="92"/>
      <c r="O1149" s="92"/>
      <c r="P1149" s="92"/>
      <c r="Q1149" s="92"/>
    </row>
    <row r="1150" spans="1:17" s="69" customFormat="1" ht="10.5">
      <c r="A1150" s="75"/>
      <c r="J1150" s="92"/>
      <c r="K1150" s="92"/>
      <c r="L1150" s="92"/>
      <c r="M1150" s="92"/>
      <c r="N1150" s="92"/>
      <c r="O1150" s="92"/>
      <c r="P1150" s="92"/>
      <c r="Q1150" s="92"/>
    </row>
    <row r="1151" spans="1:17" s="69" customFormat="1" ht="10.5">
      <c r="A1151" s="75"/>
      <c r="J1151" s="92"/>
      <c r="K1151" s="92"/>
      <c r="L1151" s="92"/>
      <c r="M1151" s="92"/>
      <c r="N1151" s="92"/>
      <c r="O1151" s="92"/>
      <c r="P1151" s="92"/>
      <c r="Q1151" s="92"/>
    </row>
    <row r="1152" spans="1:17" s="69" customFormat="1" ht="10.5">
      <c r="A1152" s="75"/>
      <c r="J1152" s="92"/>
      <c r="K1152" s="92"/>
      <c r="L1152" s="92"/>
      <c r="M1152" s="92"/>
      <c r="N1152" s="92"/>
      <c r="O1152" s="92"/>
      <c r="P1152" s="92"/>
      <c r="Q1152" s="92"/>
    </row>
    <row r="1153" spans="1:17" s="69" customFormat="1" ht="10.5">
      <c r="A1153" s="75"/>
      <c r="J1153" s="92"/>
      <c r="K1153" s="92"/>
      <c r="L1153" s="92"/>
      <c r="M1153" s="92"/>
      <c r="N1153" s="92"/>
      <c r="O1153" s="92"/>
      <c r="P1153" s="92"/>
      <c r="Q1153" s="92"/>
    </row>
    <row r="1154" spans="1:17" s="69" customFormat="1" ht="10.5">
      <c r="A1154" s="75"/>
      <c r="J1154" s="92"/>
      <c r="K1154" s="92"/>
      <c r="L1154" s="92"/>
      <c r="M1154" s="92"/>
      <c r="N1154" s="92"/>
      <c r="O1154" s="92"/>
      <c r="P1154" s="92"/>
      <c r="Q1154" s="92"/>
    </row>
    <row r="1155" spans="1:17" s="69" customFormat="1" ht="10.5">
      <c r="A1155" s="75"/>
      <c r="J1155" s="92"/>
      <c r="K1155" s="92"/>
      <c r="L1155" s="92"/>
      <c r="M1155" s="92"/>
      <c r="N1155" s="92"/>
      <c r="O1155" s="92"/>
      <c r="P1155" s="92"/>
      <c r="Q1155" s="92"/>
    </row>
    <row r="1156" spans="1:17" s="69" customFormat="1" ht="10.5">
      <c r="A1156" s="75"/>
      <c r="J1156" s="92"/>
      <c r="K1156" s="92"/>
      <c r="L1156" s="92"/>
      <c r="M1156" s="92"/>
      <c r="N1156" s="92"/>
      <c r="O1156" s="92"/>
      <c r="P1156" s="92"/>
      <c r="Q1156" s="92"/>
    </row>
    <row r="1157" spans="1:17" s="69" customFormat="1" ht="10.5">
      <c r="A1157" s="75"/>
      <c r="J1157" s="92"/>
      <c r="K1157" s="92"/>
      <c r="L1157" s="92"/>
      <c r="M1157" s="92"/>
      <c r="N1157" s="92"/>
      <c r="O1157" s="92"/>
      <c r="P1157" s="92"/>
      <c r="Q1157" s="92"/>
    </row>
    <row r="1158" spans="1:17" s="69" customFormat="1" ht="10.5">
      <c r="A1158" s="75"/>
      <c r="J1158" s="92"/>
      <c r="K1158" s="92"/>
      <c r="L1158" s="92"/>
      <c r="M1158" s="92"/>
      <c r="N1158" s="92"/>
      <c r="O1158" s="92"/>
      <c r="P1158" s="92"/>
      <c r="Q1158" s="92"/>
    </row>
    <row r="1159" spans="1:17" s="69" customFormat="1" ht="10.5">
      <c r="A1159" s="75"/>
      <c r="J1159" s="92"/>
      <c r="K1159" s="92"/>
      <c r="L1159" s="92"/>
      <c r="M1159" s="92"/>
      <c r="N1159" s="92"/>
      <c r="O1159" s="92"/>
      <c r="P1159" s="92"/>
      <c r="Q1159" s="92"/>
    </row>
    <row r="1160" spans="1:17" s="69" customFormat="1" ht="10.5">
      <c r="A1160" s="75"/>
      <c r="J1160" s="92"/>
      <c r="K1160" s="92"/>
      <c r="L1160" s="92"/>
      <c r="M1160" s="92"/>
      <c r="N1160" s="92"/>
      <c r="O1160" s="92"/>
      <c r="P1160" s="92"/>
      <c r="Q1160" s="92"/>
    </row>
    <row r="1161" spans="1:17" s="69" customFormat="1" ht="10.5">
      <c r="A1161" s="75"/>
      <c r="J1161" s="92"/>
      <c r="K1161" s="92"/>
      <c r="L1161" s="92"/>
      <c r="M1161" s="92"/>
      <c r="N1161" s="92"/>
      <c r="O1161" s="92"/>
      <c r="P1161" s="92"/>
      <c r="Q1161" s="92"/>
    </row>
    <row r="1162" spans="1:17" s="69" customFormat="1" ht="10.5">
      <c r="A1162" s="75"/>
      <c r="J1162" s="92"/>
      <c r="K1162" s="92"/>
      <c r="L1162" s="92"/>
      <c r="M1162" s="92"/>
      <c r="N1162" s="92"/>
      <c r="O1162" s="92"/>
      <c r="P1162" s="92"/>
      <c r="Q1162" s="92"/>
    </row>
    <row r="1163" spans="1:17" s="69" customFormat="1" ht="10.5">
      <c r="A1163" s="75"/>
      <c r="J1163" s="92"/>
      <c r="K1163" s="92"/>
      <c r="L1163" s="92"/>
      <c r="M1163" s="92"/>
      <c r="N1163" s="92"/>
      <c r="O1163" s="92"/>
      <c r="P1163" s="92"/>
      <c r="Q1163" s="92"/>
    </row>
    <row r="1164" spans="1:17" s="69" customFormat="1" ht="10.5">
      <c r="A1164" s="75"/>
      <c r="J1164" s="92"/>
      <c r="K1164" s="92"/>
      <c r="L1164" s="92"/>
      <c r="M1164" s="92"/>
      <c r="N1164" s="92"/>
      <c r="O1164" s="92"/>
      <c r="P1164" s="92"/>
      <c r="Q1164" s="92"/>
    </row>
    <row r="1165" spans="1:17" s="69" customFormat="1" ht="10.5">
      <c r="A1165" s="75"/>
      <c r="J1165" s="92"/>
      <c r="K1165" s="92"/>
      <c r="L1165" s="92"/>
      <c r="M1165" s="92"/>
      <c r="N1165" s="92"/>
      <c r="O1165" s="92"/>
      <c r="P1165" s="92"/>
      <c r="Q1165" s="92"/>
    </row>
    <row r="1166" spans="1:17" s="69" customFormat="1" ht="10.5">
      <c r="A1166" s="75"/>
      <c r="J1166" s="92"/>
      <c r="K1166" s="92"/>
      <c r="L1166" s="92"/>
      <c r="M1166" s="92"/>
      <c r="N1166" s="92"/>
      <c r="O1166" s="92"/>
      <c r="P1166" s="92"/>
      <c r="Q1166" s="92"/>
    </row>
    <row r="1167" spans="1:17" s="69" customFormat="1" ht="10.5">
      <c r="A1167" s="75"/>
      <c r="J1167" s="92"/>
      <c r="K1167" s="92"/>
      <c r="L1167" s="92"/>
      <c r="M1167" s="92"/>
      <c r="N1167" s="92"/>
      <c r="O1167" s="92"/>
      <c r="P1167" s="92"/>
      <c r="Q1167" s="92"/>
    </row>
    <row r="1168" spans="1:17" s="69" customFormat="1" ht="10.5">
      <c r="A1168" s="75"/>
      <c r="J1168" s="92"/>
      <c r="K1168" s="92"/>
      <c r="L1168" s="92"/>
      <c r="M1168" s="92"/>
      <c r="N1168" s="92"/>
      <c r="O1168" s="92"/>
      <c r="P1168" s="92"/>
      <c r="Q1168" s="92"/>
    </row>
    <row r="1169" spans="1:17" s="69" customFormat="1" ht="10.5">
      <c r="A1169" s="75"/>
      <c r="J1169" s="92"/>
      <c r="K1169" s="92"/>
      <c r="L1169" s="92"/>
      <c r="M1169" s="92"/>
      <c r="N1169" s="92"/>
      <c r="O1169" s="92"/>
      <c r="P1169" s="92"/>
      <c r="Q1169" s="92"/>
    </row>
    <row r="1170" spans="1:17" s="69" customFormat="1" ht="10.5">
      <c r="A1170" s="75"/>
      <c r="J1170" s="92"/>
      <c r="K1170" s="92"/>
      <c r="L1170" s="92"/>
      <c r="M1170" s="92"/>
      <c r="N1170" s="92"/>
      <c r="O1170" s="92"/>
      <c r="P1170" s="92"/>
      <c r="Q1170" s="92"/>
    </row>
    <row r="1171" spans="1:17" s="69" customFormat="1" ht="10.5">
      <c r="A1171" s="75"/>
      <c r="J1171" s="92"/>
      <c r="K1171" s="92"/>
      <c r="L1171" s="92"/>
      <c r="M1171" s="92"/>
      <c r="N1171" s="92"/>
      <c r="O1171" s="92"/>
      <c r="P1171" s="92"/>
      <c r="Q1171" s="92"/>
    </row>
    <row r="1172" spans="1:17" s="69" customFormat="1" ht="10.5">
      <c r="A1172" s="75"/>
      <c r="J1172" s="92"/>
      <c r="K1172" s="92"/>
      <c r="L1172" s="92"/>
      <c r="M1172" s="92"/>
      <c r="N1172" s="92"/>
      <c r="O1172" s="92"/>
      <c r="P1172" s="92"/>
      <c r="Q1172" s="92"/>
    </row>
    <row r="1173" spans="1:17" s="69" customFormat="1" ht="10.5">
      <c r="A1173" s="75"/>
      <c r="J1173" s="92"/>
      <c r="K1173" s="92"/>
      <c r="L1173" s="92"/>
      <c r="M1173" s="92"/>
      <c r="N1173" s="92"/>
      <c r="O1173" s="92"/>
      <c r="P1173" s="92"/>
      <c r="Q1173" s="92"/>
    </row>
    <row r="1174" spans="1:17" s="69" customFormat="1" ht="10.5">
      <c r="A1174" s="75"/>
      <c r="J1174" s="92"/>
      <c r="K1174" s="92"/>
      <c r="L1174" s="92"/>
      <c r="M1174" s="92"/>
      <c r="N1174" s="92"/>
      <c r="O1174" s="92"/>
      <c r="P1174" s="92"/>
      <c r="Q1174" s="92"/>
    </row>
    <row r="1175" spans="1:17" s="69" customFormat="1" ht="10.5">
      <c r="A1175" s="75"/>
      <c r="J1175" s="92"/>
      <c r="K1175" s="92"/>
      <c r="L1175" s="92"/>
      <c r="M1175" s="92"/>
      <c r="N1175" s="92"/>
      <c r="O1175" s="92"/>
      <c r="P1175" s="92"/>
      <c r="Q1175" s="92"/>
    </row>
    <row r="1176" spans="1:17" s="69" customFormat="1" ht="10.5">
      <c r="A1176" s="75"/>
      <c r="J1176" s="92"/>
      <c r="K1176" s="92"/>
      <c r="L1176" s="92"/>
      <c r="M1176" s="92"/>
      <c r="N1176" s="92"/>
      <c r="O1176" s="92"/>
      <c r="P1176" s="92"/>
      <c r="Q1176" s="92"/>
    </row>
    <row r="1177" spans="1:17" s="69" customFormat="1" ht="10.5">
      <c r="A1177" s="75"/>
      <c r="J1177" s="92"/>
      <c r="K1177" s="92"/>
      <c r="L1177" s="92"/>
      <c r="M1177" s="92"/>
      <c r="N1177" s="92"/>
      <c r="O1177" s="92"/>
      <c r="P1177" s="92"/>
      <c r="Q1177" s="92"/>
    </row>
    <row r="1178" spans="1:17" s="69" customFormat="1" ht="10.5">
      <c r="A1178" s="75"/>
      <c r="J1178" s="92"/>
      <c r="K1178" s="92"/>
      <c r="L1178" s="92"/>
      <c r="M1178" s="92"/>
      <c r="N1178" s="92"/>
      <c r="O1178" s="92"/>
      <c r="P1178" s="92"/>
      <c r="Q1178" s="92"/>
    </row>
    <row r="1179" spans="1:17" s="69" customFormat="1" ht="10.5">
      <c r="A1179" s="75"/>
      <c r="J1179" s="92"/>
      <c r="K1179" s="92"/>
      <c r="L1179" s="92"/>
      <c r="M1179" s="92"/>
      <c r="N1179" s="92"/>
      <c r="O1179" s="92"/>
      <c r="P1179" s="92"/>
      <c r="Q1179" s="92"/>
    </row>
    <row r="1180" spans="1:17" s="69" customFormat="1" ht="10.5">
      <c r="A1180" s="75"/>
      <c r="J1180" s="92"/>
      <c r="K1180" s="92"/>
      <c r="L1180" s="92"/>
      <c r="M1180" s="92"/>
      <c r="N1180" s="92"/>
      <c r="O1180" s="92"/>
      <c r="P1180" s="92"/>
      <c r="Q1180" s="92"/>
    </row>
    <row r="1181" spans="1:17" s="69" customFormat="1" ht="10.5">
      <c r="A1181" s="75"/>
      <c r="J1181" s="92"/>
      <c r="K1181" s="92"/>
      <c r="L1181" s="92"/>
      <c r="M1181" s="92"/>
      <c r="N1181" s="92"/>
      <c r="O1181" s="92"/>
      <c r="P1181" s="92"/>
      <c r="Q1181" s="92"/>
    </row>
    <row r="1182" spans="1:17" s="69" customFormat="1" ht="10.5">
      <c r="A1182" s="75"/>
      <c r="J1182" s="92"/>
      <c r="K1182" s="92"/>
      <c r="L1182" s="92"/>
      <c r="M1182" s="92"/>
      <c r="N1182" s="92"/>
      <c r="O1182" s="92"/>
      <c r="P1182" s="92"/>
      <c r="Q1182" s="92"/>
    </row>
    <row r="1183" spans="1:17" s="69" customFormat="1" ht="10.5">
      <c r="A1183" s="75"/>
      <c r="J1183" s="92"/>
      <c r="K1183" s="92"/>
      <c r="L1183" s="92"/>
      <c r="M1183" s="92"/>
      <c r="N1183" s="92"/>
      <c r="O1183" s="92"/>
      <c r="P1183" s="92"/>
      <c r="Q1183" s="92"/>
    </row>
    <row r="1184" spans="1:17" s="69" customFormat="1" ht="10.5">
      <c r="A1184" s="75"/>
      <c r="J1184" s="92"/>
      <c r="K1184" s="92"/>
      <c r="L1184" s="92"/>
      <c r="M1184" s="92"/>
      <c r="N1184" s="92"/>
      <c r="O1184" s="92"/>
      <c r="P1184" s="92"/>
      <c r="Q1184" s="92"/>
    </row>
    <row r="1185" spans="1:17" s="69" customFormat="1" ht="10.5">
      <c r="A1185" s="75"/>
      <c r="J1185" s="92"/>
      <c r="K1185" s="92"/>
      <c r="L1185" s="92"/>
      <c r="M1185" s="92"/>
      <c r="N1185" s="92"/>
      <c r="O1185" s="92"/>
      <c r="P1185" s="92"/>
      <c r="Q1185" s="92"/>
    </row>
    <row r="1186" spans="1:17" s="69" customFormat="1" ht="10.5">
      <c r="A1186" s="75"/>
      <c r="J1186" s="92"/>
      <c r="K1186" s="92"/>
      <c r="L1186" s="92"/>
      <c r="M1186" s="92"/>
      <c r="N1186" s="92"/>
      <c r="O1186" s="92"/>
      <c r="P1186" s="92"/>
      <c r="Q1186" s="92"/>
    </row>
    <row r="1187" spans="1:17" s="69" customFormat="1" ht="10.5">
      <c r="A1187" s="75"/>
      <c r="J1187" s="92"/>
      <c r="K1187" s="92"/>
      <c r="L1187" s="92"/>
      <c r="M1187" s="92"/>
      <c r="N1187" s="92"/>
      <c r="O1187" s="92"/>
      <c r="P1187" s="92"/>
      <c r="Q1187" s="92"/>
    </row>
    <row r="1188" spans="1:17" s="69" customFormat="1" ht="10.5">
      <c r="A1188" s="75"/>
      <c r="J1188" s="92"/>
      <c r="K1188" s="92"/>
      <c r="L1188" s="92"/>
      <c r="M1188" s="92"/>
      <c r="N1188" s="92"/>
      <c r="O1188" s="92"/>
      <c r="P1188" s="92"/>
      <c r="Q1188" s="92"/>
    </row>
    <row r="1189" spans="1:17" s="69" customFormat="1" ht="10.5">
      <c r="A1189" s="75"/>
      <c r="J1189" s="92"/>
      <c r="K1189" s="92"/>
      <c r="L1189" s="92"/>
      <c r="M1189" s="92"/>
      <c r="N1189" s="92"/>
      <c r="O1189" s="92"/>
      <c r="P1189" s="92"/>
      <c r="Q1189" s="92"/>
    </row>
    <row r="1190" spans="1:17" s="69" customFormat="1" ht="10.5">
      <c r="A1190" s="75"/>
      <c r="J1190" s="92"/>
      <c r="K1190" s="92"/>
      <c r="L1190" s="92"/>
      <c r="M1190" s="92"/>
      <c r="N1190" s="92"/>
      <c r="O1190" s="92"/>
      <c r="P1190" s="92"/>
      <c r="Q1190" s="92"/>
    </row>
    <row r="1191" spans="1:17" s="69" customFormat="1" ht="10.5">
      <c r="A1191" s="75"/>
      <c r="J1191" s="92"/>
      <c r="K1191" s="92"/>
      <c r="L1191" s="92"/>
      <c r="M1191" s="92"/>
      <c r="N1191" s="92"/>
      <c r="O1191" s="92"/>
      <c r="P1191" s="92"/>
      <c r="Q1191" s="92"/>
    </row>
    <row r="1192" spans="1:17" s="69" customFormat="1" ht="10.5">
      <c r="A1192" s="75"/>
      <c r="J1192" s="92"/>
      <c r="K1192" s="92"/>
      <c r="L1192" s="92"/>
      <c r="M1192" s="92"/>
      <c r="N1192" s="92"/>
      <c r="O1192" s="92"/>
      <c r="P1192" s="92"/>
      <c r="Q1192" s="92"/>
    </row>
    <row r="1193" spans="1:17" s="69" customFormat="1" ht="10.5">
      <c r="A1193" s="75"/>
      <c r="J1193" s="92"/>
      <c r="K1193" s="92"/>
      <c r="L1193" s="92"/>
      <c r="M1193" s="92"/>
      <c r="N1193" s="92"/>
      <c r="O1193" s="92"/>
      <c r="P1193" s="92"/>
      <c r="Q1193" s="92"/>
    </row>
    <row r="1194" spans="1:17" s="69" customFormat="1" ht="10.5">
      <c r="A1194" s="75"/>
      <c r="J1194" s="92"/>
      <c r="K1194" s="92"/>
      <c r="L1194" s="92"/>
      <c r="M1194" s="92"/>
      <c r="N1194" s="92"/>
      <c r="O1194" s="92"/>
      <c r="P1194" s="92"/>
      <c r="Q1194" s="92"/>
    </row>
    <row r="1195" spans="1:17" s="69" customFormat="1" ht="10.5">
      <c r="A1195" s="75"/>
      <c r="J1195" s="92"/>
      <c r="K1195" s="92"/>
      <c r="L1195" s="92"/>
      <c r="M1195" s="92"/>
      <c r="N1195" s="92"/>
      <c r="O1195" s="92"/>
      <c r="P1195" s="92"/>
      <c r="Q1195" s="92"/>
    </row>
    <row r="1196" spans="1:17" s="69" customFormat="1" ht="10.5">
      <c r="A1196" s="75"/>
      <c r="J1196" s="92"/>
      <c r="K1196" s="92"/>
      <c r="L1196" s="92"/>
      <c r="M1196" s="92"/>
      <c r="N1196" s="92"/>
      <c r="O1196" s="92"/>
      <c r="P1196" s="92"/>
      <c r="Q1196" s="92"/>
    </row>
    <row r="1197" spans="1:17" s="69" customFormat="1" ht="10.5">
      <c r="A1197" s="75"/>
      <c r="J1197" s="92"/>
      <c r="K1197" s="92"/>
      <c r="L1197" s="92"/>
      <c r="M1197" s="92"/>
      <c r="N1197" s="92"/>
      <c r="O1197" s="92"/>
      <c r="P1197" s="92"/>
      <c r="Q1197" s="92"/>
    </row>
    <row r="1198" spans="1:17" s="69" customFormat="1" ht="10.5">
      <c r="A1198" s="75"/>
      <c r="J1198" s="92"/>
      <c r="K1198" s="92"/>
      <c r="L1198" s="92"/>
      <c r="M1198" s="92"/>
      <c r="N1198" s="92"/>
      <c r="O1198" s="92"/>
      <c r="P1198" s="92"/>
      <c r="Q1198" s="92"/>
    </row>
    <row r="1199" spans="1:17" s="69" customFormat="1" ht="10.5">
      <c r="A1199" s="75"/>
      <c r="J1199" s="92"/>
      <c r="K1199" s="92"/>
      <c r="L1199" s="92"/>
      <c r="M1199" s="92"/>
      <c r="N1199" s="92"/>
      <c r="O1199" s="92"/>
      <c r="P1199" s="92"/>
      <c r="Q1199" s="92"/>
    </row>
    <row r="1200" spans="1:17" s="69" customFormat="1" ht="10.5">
      <c r="A1200" s="75"/>
      <c r="J1200" s="92"/>
      <c r="K1200" s="92"/>
      <c r="L1200" s="92"/>
      <c r="M1200" s="92"/>
      <c r="N1200" s="92"/>
      <c r="O1200" s="92"/>
      <c r="P1200" s="92"/>
      <c r="Q1200" s="92"/>
    </row>
    <row r="1201" spans="1:17" s="69" customFormat="1" ht="10.5">
      <c r="A1201" s="75"/>
      <c r="J1201" s="92"/>
      <c r="K1201" s="92"/>
      <c r="L1201" s="92"/>
      <c r="M1201" s="92"/>
      <c r="N1201" s="92"/>
      <c r="O1201" s="92"/>
      <c r="P1201" s="92"/>
      <c r="Q1201" s="92"/>
    </row>
    <row r="1202" spans="1:17" s="69" customFormat="1" ht="10.5">
      <c r="A1202" s="75"/>
      <c r="J1202" s="92"/>
      <c r="K1202" s="92"/>
      <c r="L1202" s="92"/>
      <c r="M1202" s="92"/>
      <c r="N1202" s="92"/>
      <c r="O1202" s="92"/>
      <c r="P1202" s="92"/>
      <c r="Q1202" s="92"/>
    </row>
    <row r="1203" spans="1:17" s="69" customFormat="1" ht="10.5">
      <c r="A1203" s="75"/>
      <c r="J1203" s="92"/>
      <c r="K1203" s="92"/>
      <c r="L1203" s="92"/>
      <c r="M1203" s="92"/>
      <c r="N1203" s="92"/>
      <c r="O1203" s="92"/>
      <c r="P1203" s="92"/>
      <c r="Q1203" s="92"/>
    </row>
    <row r="1204" spans="1:17" s="69" customFormat="1" ht="10.5">
      <c r="A1204" s="75"/>
      <c r="J1204" s="92"/>
      <c r="K1204" s="92"/>
      <c r="L1204" s="92"/>
      <c r="M1204" s="92"/>
      <c r="N1204" s="92"/>
      <c r="O1204" s="92"/>
      <c r="P1204" s="92"/>
      <c r="Q1204" s="92"/>
    </row>
    <row r="1205" spans="1:17" s="69" customFormat="1" ht="10.5">
      <c r="A1205" s="75"/>
      <c r="J1205" s="92"/>
      <c r="K1205" s="92"/>
      <c r="L1205" s="92"/>
      <c r="M1205" s="92"/>
      <c r="N1205" s="92"/>
      <c r="O1205" s="92"/>
      <c r="P1205" s="92"/>
      <c r="Q1205" s="92"/>
    </row>
    <row r="1206" spans="1:17" s="69" customFormat="1" ht="10.5">
      <c r="A1206" s="75"/>
      <c r="J1206" s="92"/>
      <c r="K1206" s="92"/>
      <c r="L1206" s="92"/>
      <c r="M1206" s="92"/>
      <c r="N1206" s="92"/>
      <c r="O1206" s="92"/>
      <c r="P1206" s="92"/>
      <c r="Q1206" s="92"/>
    </row>
    <row r="1207" spans="1:17" s="69" customFormat="1" ht="10.5">
      <c r="A1207" s="75"/>
      <c r="J1207" s="92"/>
      <c r="K1207" s="92"/>
      <c r="L1207" s="92"/>
      <c r="M1207" s="92"/>
      <c r="N1207" s="92"/>
      <c r="O1207" s="92"/>
      <c r="P1207" s="92"/>
      <c r="Q1207" s="92"/>
    </row>
    <row r="1208" spans="1:17" s="69" customFormat="1" ht="10.5">
      <c r="A1208" s="75"/>
      <c r="J1208" s="92"/>
      <c r="K1208" s="92"/>
      <c r="L1208" s="92"/>
      <c r="M1208" s="92"/>
      <c r="N1208" s="92"/>
      <c r="O1208" s="92"/>
      <c r="P1208" s="92"/>
      <c r="Q1208" s="92"/>
    </row>
    <row r="1209" spans="1:17" s="69" customFormat="1" ht="10.5">
      <c r="A1209" s="75"/>
      <c r="J1209" s="92"/>
      <c r="K1209" s="92"/>
      <c r="L1209" s="92"/>
      <c r="M1209" s="92"/>
      <c r="N1209" s="92"/>
      <c r="O1209" s="92"/>
      <c r="P1209" s="92"/>
      <c r="Q1209" s="92"/>
    </row>
    <row r="1210" spans="1:17" s="69" customFormat="1" ht="10.5">
      <c r="A1210" s="75"/>
      <c r="J1210" s="92"/>
      <c r="K1210" s="92"/>
      <c r="L1210" s="92"/>
      <c r="M1210" s="92"/>
      <c r="N1210" s="92"/>
      <c r="O1210" s="92"/>
      <c r="P1210" s="92"/>
      <c r="Q1210" s="92"/>
    </row>
    <row r="1211" spans="1:17" s="69" customFormat="1" ht="10.5">
      <c r="A1211" s="75"/>
      <c r="J1211" s="92"/>
      <c r="K1211" s="92"/>
      <c r="L1211" s="92"/>
      <c r="M1211" s="92"/>
      <c r="N1211" s="92"/>
      <c r="O1211" s="92"/>
      <c r="P1211" s="92"/>
      <c r="Q1211" s="92"/>
    </row>
    <row r="1212" spans="1:17" s="69" customFormat="1" ht="10.5">
      <c r="A1212" s="75"/>
      <c r="J1212" s="92"/>
      <c r="K1212" s="92"/>
      <c r="L1212" s="92"/>
      <c r="M1212" s="92"/>
      <c r="N1212" s="92"/>
      <c r="O1212" s="92"/>
      <c r="P1212" s="92"/>
      <c r="Q1212" s="92"/>
    </row>
    <row r="1213" spans="1:17" s="69" customFormat="1" ht="10.5">
      <c r="A1213" s="75"/>
      <c r="J1213" s="92"/>
      <c r="K1213" s="92"/>
      <c r="L1213" s="92"/>
      <c r="M1213" s="92"/>
      <c r="N1213" s="92"/>
      <c r="O1213" s="92"/>
      <c r="P1213" s="92"/>
      <c r="Q1213" s="92"/>
    </row>
    <row r="1214" spans="1:17" s="69" customFormat="1" ht="10.5">
      <c r="A1214" s="75"/>
      <c r="J1214" s="92"/>
      <c r="K1214" s="92"/>
      <c r="L1214" s="92"/>
      <c r="M1214" s="92"/>
      <c r="N1214" s="92"/>
      <c r="O1214" s="92"/>
      <c r="P1214" s="92"/>
      <c r="Q1214" s="92"/>
    </row>
    <row r="1215" spans="1:17" s="69" customFormat="1" ht="10.5">
      <c r="A1215" s="75"/>
      <c r="J1215" s="92"/>
      <c r="K1215" s="92"/>
      <c r="L1215" s="92"/>
      <c r="M1215" s="92"/>
      <c r="N1215" s="92"/>
      <c r="O1215" s="92"/>
      <c r="P1215" s="92"/>
      <c r="Q1215" s="92"/>
    </row>
    <row r="1216" spans="1:17" s="69" customFormat="1" ht="10.5">
      <c r="A1216" s="75"/>
      <c r="J1216" s="92"/>
      <c r="K1216" s="92"/>
      <c r="L1216" s="92"/>
      <c r="M1216" s="92"/>
      <c r="N1216" s="92"/>
      <c r="O1216" s="92"/>
      <c r="P1216" s="92"/>
      <c r="Q1216" s="92"/>
    </row>
    <row r="1217" spans="1:17" s="69" customFormat="1" ht="10.5">
      <c r="A1217" s="75"/>
      <c r="J1217" s="92"/>
      <c r="K1217" s="92"/>
      <c r="L1217" s="92"/>
      <c r="M1217" s="92"/>
      <c r="N1217" s="92"/>
      <c r="O1217" s="92"/>
      <c r="P1217" s="92"/>
      <c r="Q1217" s="92"/>
    </row>
    <row r="1218" spans="1:17" s="69" customFormat="1" ht="10.5">
      <c r="A1218" s="75"/>
      <c r="J1218" s="92"/>
      <c r="K1218" s="92"/>
      <c r="L1218" s="92"/>
      <c r="M1218" s="92"/>
      <c r="N1218" s="92"/>
      <c r="O1218" s="92"/>
      <c r="P1218" s="92"/>
      <c r="Q1218" s="92"/>
    </row>
    <row r="1219" spans="1:17" s="69" customFormat="1" ht="10.5">
      <c r="A1219" s="75"/>
      <c r="J1219" s="92"/>
      <c r="K1219" s="92"/>
      <c r="L1219" s="92"/>
      <c r="M1219" s="92"/>
      <c r="N1219" s="92"/>
      <c r="O1219" s="92"/>
      <c r="P1219" s="92"/>
      <c r="Q1219" s="92"/>
    </row>
    <row r="1220" spans="1:17" s="69" customFormat="1" ht="10.5">
      <c r="A1220" s="75"/>
      <c r="J1220" s="92"/>
      <c r="K1220" s="92"/>
      <c r="L1220" s="92"/>
      <c r="M1220" s="92"/>
      <c r="N1220" s="92"/>
      <c r="O1220" s="92"/>
      <c r="P1220" s="92"/>
      <c r="Q1220" s="92"/>
    </row>
    <row r="1221" spans="1:17" s="69" customFormat="1" ht="10.5">
      <c r="A1221" s="75"/>
      <c r="J1221" s="92"/>
      <c r="K1221" s="92"/>
      <c r="L1221" s="92"/>
      <c r="M1221" s="92"/>
      <c r="N1221" s="92"/>
      <c r="O1221" s="92"/>
      <c r="P1221" s="92"/>
      <c r="Q1221" s="92"/>
    </row>
    <row r="1222" spans="1:17" s="69" customFormat="1" ht="10.5">
      <c r="A1222" s="75"/>
      <c r="J1222" s="92"/>
      <c r="K1222" s="92"/>
      <c r="L1222" s="92"/>
      <c r="M1222" s="92"/>
      <c r="N1222" s="92"/>
      <c r="O1222" s="92"/>
      <c r="P1222" s="92"/>
      <c r="Q1222" s="92"/>
    </row>
    <row r="1223" spans="1:17" s="69" customFormat="1" ht="10.5">
      <c r="A1223" s="75"/>
      <c r="J1223" s="92"/>
      <c r="K1223" s="92"/>
      <c r="L1223" s="92"/>
      <c r="M1223" s="92"/>
      <c r="N1223" s="92"/>
      <c r="O1223" s="92"/>
      <c r="P1223" s="92"/>
      <c r="Q1223" s="92"/>
    </row>
    <row r="1224" spans="1:17" s="69" customFormat="1" ht="10.5">
      <c r="A1224" s="75"/>
      <c r="J1224" s="92"/>
      <c r="K1224" s="92"/>
      <c r="L1224" s="92"/>
      <c r="M1224" s="92"/>
      <c r="N1224" s="92"/>
      <c r="O1224" s="92"/>
      <c r="P1224" s="92"/>
      <c r="Q1224" s="92"/>
    </row>
    <row r="1225" spans="1:17" s="69" customFormat="1" ht="10.5">
      <c r="A1225" s="75"/>
      <c r="J1225" s="92"/>
      <c r="K1225" s="92"/>
      <c r="L1225" s="92"/>
      <c r="M1225" s="92"/>
      <c r="N1225" s="92"/>
      <c r="O1225" s="92"/>
      <c r="P1225" s="92"/>
      <c r="Q1225" s="92"/>
    </row>
    <row r="1226" spans="1:17" s="69" customFormat="1" ht="10.5">
      <c r="A1226" s="75"/>
      <c r="J1226" s="92"/>
      <c r="K1226" s="92"/>
      <c r="L1226" s="92"/>
      <c r="M1226" s="92"/>
      <c r="N1226" s="92"/>
      <c r="O1226" s="92"/>
      <c r="P1226" s="92"/>
      <c r="Q1226" s="92"/>
    </row>
    <row r="1227" spans="1:17" s="69" customFormat="1" ht="10.5">
      <c r="A1227" s="75"/>
      <c r="J1227" s="92"/>
      <c r="K1227" s="92"/>
      <c r="L1227" s="92"/>
      <c r="M1227" s="92"/>
      <c r="N1227" s="92"/>
      <c r="O1227" s="92"/>
      <c r="P1227" s="92"/>
      <c r="Q1227" s="92"/>
    </row>
    <row r="1228" spans="1:17" s="69" customFormat="1" ht="10.5">
      <c r="A1228" s="75"/>
      <c r="J1228" s="92"/>
      <c r="K1228" s="92"/>
      <c r="L1228" s="92"/>
      <c r="M1228" s="92"/>
      <c r="N1228" s="92"/>
      <c r="O1228" s="92"/>
      <c r="P1228" s="92"/>
      <c r="Q1228" s="92"/>
    </row>
    <row r="1229" spans="1:17" s="69" customFormat="1" ht="10.5">
      <c r="A1229" s="75"/>
      <c r="J1229" s="92"/>
      <c r="K1229" s="92"/>
      <c r="L1229" s="92"/>
      <c r="M1229" s="92"/>
      <c r="N1229" s="92"/>
      <c r="O1229" s="92"/>
      <c r="P1229" s="92"/>
      <c r="Q1229" s="92"/>
    </row>
    <row r="1230" spans="1:17" s="69" customFormat="1" ht="10.5">
      <c r="A1230" s="75"/>
      <c r="J1230" s="92"/>
      <c r="K1230" s="92"/>
      <c r="L1230" s="92"/>
      <c r="M1230" s="92"/>
      <c r="N1230" s="92"/>
      <c r="O1230" s="92"/>
      <c r="P1230" s="92"/>
      <c r="Q1230" s="92"/>
    </row>
    <row r="1231" spans="1:17" s="69" customFormat="1" ht="10.5">
      <c r="A1231" s="75"/>
      <c r="J1231" s="92"/>
      <c r="K1231" s="92"/>
      <c r="L1231" s="92"/>
      <c r="M1231" s="92"/>
      <c r="N1231" s="92"/>
      <c r="O1231" s="92"/>
      <c r="P1231" s="92"/>
      <c r="Q1231" s="92"/>
    </row>
    <row r="1232" spans="1:17" s="69" customFormat="1" ht="10.5">
      <c r="A1232" s="75"/>
      <c r="J1232" s="92"/>
      <c r="K1232" s="92"/>
      <c r="L1232" s="92"/>
      <c r="M1232" s="92"/>
      <c r="N1232" s="92"/>
      <c r="O1232" s="92"/>
      <c r="P1232" s="92"/>
      <c r="Q1232" s="92"/>
    </row>
    <row r="1233" spans="1:17" s="69" customFormat="1" ht="10.5">
      <c r="A1233" s="75"/>
      <c r="J1233" s="92"/>
      <c r="K1233" s="92"/>
      <c r="L1233" s="92"/>
      <c r="M1233" s="92"/>
      <c r="N1233" s="92"/>
      <c r="O1233" s="92"/>
      <c r="P1233" s="92"/>
      <c r="Q1233" s="92"/>
    </row>
    <row r="1234" spans="1:17" s="69" customFormat="1" ht="10.5">
      <c r="A1234" s="75"/>
      <c r="J1234" s="92"/>
      <c r="K1234" s="92"/>
      <c r="L1234" s="92"/>
      <c r="M1234" s="92"/>
      <c r="N1234" s="92"/>
      <c r="O1234" s="92"/>
      <c r="P1234" s="92"/>
      <c r="Q1234" s="92"/>
    </row>
    <row r="1235" spans="1:17" s="69" customFormat="1" ht="10.5">
      <c r="A1235" s="75"/>
      <c r="J1235" s="92"/>
      <c r="K1235" s="92"/>
      <c r="L1235" s="92"/>
      <c r="M1235" s="92"/>
      <c r="N1235" s="92"/>
      <c r="O1235" s="92"/>
      <c r="P1235" s="92"/>
      <c r="Q1235" s="92"/>
    </row>
    <row r="1236" spans="1:17" s="69" customFormat="1" ht="10.5">
      <c r="A1236" s="75"/>
      <c r="J1236" s="92"/>
      <c r="K1236" s="92"/>
      <c r="L1236" s="92"/>
      <c r="M1236" s="92"/>
      <c r="N1236" s="92"/>
      <c r="O1236" s="92"/>
      <c r="P1236" s="92"/>
      <c r="Q1236" s="92"/>
    </row>
    <row r="1237" spans="1:17" s="69" customFormat="1" ht="10.5">
      <c r="A1237" s="75"/>
      <c r="J1237" s="92"/>
      <c r="K1237" s="92"/>
      <c r="L1237" s="92"/>
      <c r="M1237" s="92"/>
      <c r="N1237" s="92"/>
      <c r="O1237" s="92"/>
      <c r="P1237" s="92"/>
      <c r="Q1237" s="92"/>
    </row>
    <row r="1238" spans="1:17" s="69" customFormat="1" ht="10.5">
      <c r="A1238" s="75"/>
      <c r="J1238" s="92"/>
      <c r="K1238" s="92"/>
      <c r="L1238" s="92"/>
      <c r="M1238" s="92"/>
      <c r="N1238" s="92"/>
      <c r="O1238" s="92"/>
      <c r="P1238" s="92"/>
      <c r="Q1238" s="92"/>
    </row>
    <row r="1239" spans="1:17" s="69" customFormat="1" ht="10.5">
      <c r="A1239" s="75"/>
      <c r="J1239" s="92"/>
      <c r="K1239" s="92"/>
      <c r="L1239" s="92"/>
      <c r="M1239" s="92"/>
      <c r="N1239" s="92"/>
      <c r="O1239" s="92"/>
      <c r="P1239" s="92"/>
      <c r="Q1239" s="92"/>
    </row>
    <row r="1240" spans="1:17" s="69" customFormat="1" ht="10.5">
      <c r="A1240" s="75"/>
      <c r="J1240" s="92"/>
      <c r="K1240" s="92"/>
      <c r="L1240" s="92"/>
      <c r="M1240" s="92"/>
      <c r="N1240" s="92"/>
      <c r="O1240" s="92"/>
      <c r="P1240" s="92"/>
      <c r="Q1240" s="92"/>
    </row>
    <row r="1241" spans="1:17" s="69" customFormat="1" ht="10.5">
      <c r="A1241" s="75"/>
      <c r="J1241" s="92"/>
      <c r="K1241" s="92"/>
      <c r="L1241" s="92"/>
      <c r="M1241" s="92"/>
      <c r="N1241" s="92"/>
      <c r="O1241" s="92"/>
      <c r="P1241" s="92"/>
      <c r="Q1241" s="92"/>
    </row>
    <row r="1242" spans="1:17" s="69" customFormat="1" ht="10.5">
      <c r="A1242" s="75"/>
      <c r="J1242" s="92"/>
      <c r="K1242" s="92"/>
      <c r="L1242" s="92"/>
      <c r="M1242" s="92"/>
      <c r="N1242" s="92"/>
      <c r="O1242" s="92"/>
      <c r="P1242" s="92"/>
      <c r="Q1242" s="92"/>
    </row>
    <row r="1243" spans="1:17" s="69" customFormat="1" ht="10.5">
      <c r="A1243" s="75"/>
      <c r="J1243" s="92"/>
      <c r="K1243" s="92"/>
      <c r="L1243" s="92"/>
      <c r="M1243" s="92"/>
      <c r="N1243" s="92"/>
      <c r="O1243" s="92"/>
      <c r="P1243" s="92"/>
      <c r="Q1243" s="92"/>
    </row>
    <row r="1244" spans="1:17" s="69" customFormat="1" ht="10.5">
      <c r="A1244" s="75"/>
      <c r="J1244" s="92"/>
      <c r="K1244" s="92"/>
      <c r="L1244" s="92"/>
      <c r="M1244" s="92"/>
      <c r="N1244" s="92"/>
      <c r="O1244" s="92"/>
      <c r="P1244" s="92"/>
      <c r="Q1244" s="92"/>
    </row>
    <row r="1245" spans="1:17" s="69" customFormat="1" ht="10.5">
      <c r="A1245" s="75"/>
      <c r="J1245" s="92"/>
      <c r="K1245" s="92"/>
      <c r="L1245" s="92"/>
      <c r="M1245" s="92"/>
      <c r="N1245" s="92"/>
      <c r="O1245" s="92"/>
      <c r="P1245" s="92"/>
      <c r="Q1245" s="92"/>
    </row>
    <row r="1246" spans="1:17" s="69" customFormat="1" ht="10.5">
      <c r="A1246" s="75"/>
      <c r="J1246" s="92"/>
      <c r="K1246" s="92"/>
      <c r="L1246" s="92"/>
      <c r="M1246" s="92"/>
      <c r="N1246" s="92"/>
      <c r="O1246" s="92"/>
      <c r="P1246" s="92"/>
      <c r="Q1246" s="92"/>
    </row>
    <row r="1247" spans="1:17" s="69" customFormat="1" ht="10.5">
      <c r="A1247" s="75"/>
      <c r="J1247" s="92"/>
      <c r="K1247" s="92"/>
      <c r="L1247" s="92"/>
      <c r="M1247" s="92"/>
      <c r="N1247" s="92"/>
      <c r="O1247" s="92"/>
      <c r="P1247" s="92"/>
      <c r="Q1247" s="92"/>
    </row>
    <row r="1248" spans="1:17" s="69" customFormat="1" ht="10.5">
      <c r="A1248" s="75"/>
      <c r="J1248" s="92"/>
      <c r="K1248" s="92"/>
      <c r="L1248" s="92"/>
      <c r="M1248" s="92"/>
      <c r="N1248" s="92"/>
      <c r="O1248" s="92"/>
      <c r="P1248" s="92"/>
      <c r="Q1248" s="92"/>
    </row>
    <row r="1249" spans="1:17" s="69" customFormat="1" ht="10.5">
      <c r="A1249" s="75"/>
      <c r="J1249" s="92"/>
      <c r="K1249" s="92"/>
      <c r="L1249" s="92"/>
      <c r="M1249" s="92"/>
      <c r="N1249" s="92"/>
      <c r="O1249" s="92"/>
      <c r="P1249" s="92"/>
      <c r="Q1249" s="92"/>
    </row>
    <row r="1250" spans="1:17" s="69" customFormat="1" ht="10.5">
      <c r="A1250" s="75"/>
      <c r="J1250" s="92"/>
      <c r="K1250" s="92"/>
      <c r="L1250" s="92"/>
      <c r="M1250" s="92"/>
      <c r="N1250" s="92"/>
      <c r="O1250" s="92"/>
      <c r="P1250" s="92"/>
      <c r="Q1250" s="92"/>
    </row>
    <row r="1251" spans="1:17" s="69" customFormat="1" ht="10.5">
      <c r="A1251" s="75"/>
      <c r="J1251" s="92"/>
      <c r="K1251" s="92"/>
      <c r="L1251" s="92"/>
      <c r="M1251" s="92"/>
      <c r="N1251" s="92"/>
      <c r="O1251" s="92"/>
      <c r="P1251" s="92"/>
      <c r="Q1251" s="92"/>
    </row>
    <row r="1252" spans="1:17" s="69" customFormat="1" ht="10.5">
      <c r="A1252" s="75"/>
      <c r="J1252" s="92"/>
      <c r="K1252" s="92"/>
      <c r="L1252" s="92"/>
      <c r="M1252" s="92"/>
      <c r="N1252" s="92"/>
      <c r="O1252" s="92"/>
      <c r="P1252" s="92"/>
      <c r="Q1252" s="92"/>
    </row>
    <row r="1253" spans="1:17" s="69" customFormat="1" ht="10.5">
      <c r="A1253" s="75"/>
      <c r="J1253" s="92"/>
      <c r="K1253" s="92"/>
      <c r="L1253" s="92"/>
      <c r="M1253" s="92"/>
      <c r="N1253" s="92"/>
      <c r="O1253" s="92"/>
      <c r="P1253" s="92"/>
      <c r="Q1253" s="92"/>
    </row>
    <row r="1254" spans="1:17" s="69" customFormat="1" ht="10.5">
      <c r="A1254" s="75"/>
      <c r="J1254" s="92"/>
      <c r="K1254" s="92"/>
      <c r="L1254" s="92"/>
      <c r="M1254" s="92"/>
      <c r="N1254" s="92"/>
      <c r="O1254" s="92"/>
      <c r="P1254" s="92"/>
      <c r="Q1254" s="92"/>
    </row>
    <row r="1255" spans="1:17" s="69" customFormat="1" ht="10.5">
      <c r="A1255" s="75"/>
      <c r="J1255" s="92"/>
      <c r="K1255" s="92"/>
      <c r="L1255" s="92"/>
      <c r="M1255" s="92"/>
      <c r="N1255" s="92"/>
      <c r="O1255" s="92"/>
      <c r="P1255" s="92"/>
      <c r="Q1255" s="92"/>
    </row>
    <row r="1256" spans="1:17" s="69" customFormat="1" ht="10.5">
      <c r="A1256" s="75"/>
      <c r="J1256" s="92"/>
      <c r="K1256" s="92"/>
      <c r="L1256" s="92"/>
      <c r="M1256" s="92"/>
      <c r="N1256" s="92"/>
      <c r="O1256" s="92"/>
      <c r="P1256" s="92"/>
      <c r="Q1256" s="92"/>
    </row>
    <row r="1257" spans="1:17" s="69" customFormat="1" ht="10.5">
      <c r="A1257" s="75"/>
      <c r="J1257" s="92"/>
      <c r="K1257" s="92"/>
      <c r="L1257" s="92"/>
      <c r="M1257" s="92"/>
      <c r="N1257" s="92"/>
      <c r="O1257" s="92"/>
      <c r="P1257" s="92"/>
      <c r="Q1257" s="92"/>
    </row>
    <row r="1258" spans="1:17" s="69" customFormat="1" ht="10.5">
      <c r="A1258" s="75"/>
      <c r="J1258" s="92"/>
      <c r="K1258" s="92"/>
      <c r="L1258" s="92"/>
      <c r="M1258" s="92"/>
      <c r="N1258" s="92"/>
      <c r="O1258" s="92"/>
      <c r="P1258" s="92"/>
      <c r="Q1258" s="92"/>
    </row>
    <row r="1259" spans="1:17" s="69" customFormat="1" ht="10.5">
      <c r="A1259" s="75"/>
      <c r="J1259" s="92"/>
      <c r="K1259" s="92"/>
      <c r="L1259" s="92"/>
      <c r="M1259" s="92"/>
      <c r="N1259" s="92"/>
      <c r="O1259" s="92"/>
      <c r="P1259" s="92"/>
      <c r="Q1259" s="92"/>
    </row>
    <row r="1260" spans="1:17" s="69" customFormat="1" ht="10.5">
      <c r="A1260" s="75"/>
      <c r="J1260" s="92"/>
      <c r="K1260" s="92"/>
      <c r="L1260" s="92"/>
      <c r="M1260" s="92"/>
      <c r="N1260" s="92"/>
      <c r="O1260" s="92"/>
      <c r="P1260" s="92"/>
      <c r="Q1260" s="92"/>
    </row>
    <row r="1261" spans="1:17" s="69" customFormat="1" ht="10.5">
      <c r="A1261" s="75"/>
      <c r="J1261" s="92"/>
      <c r="K1261" s="92"/>
      <c r="L1261" s="92"/>
      <c r="M1261" s="92"/>
      <c r="N1261" s="92"/>
      <c r="O1261" s="92"/>
      <c r="P1261" s="92"/>
      <c r="Q1261" s="92"/>
    </row>
    <row r="1262" spans="1:17" s="69" customFormat="1" ht="10.5">
      <c r="A1262" s="75"/>
      <c r="J1262" s="92"/>
      <c r="K1262" s="92"/>
      <c r="L1262" s="92"/>
      <c r="M1262" s="92"/>
      <c r="N1262" s="92"/>
      <c r="O1262" s="92"/>
      <c r="P1262" s="92"/>
      <c r="Q1262" s="92"/>
    </row>
    <row r="1263" spans="1:17" s="69" customFormat="1" ht="10.5">
      <c r="A1263" s="75"/>
      <c r="J1263" s="92"/>
      <c r="K1263" s="92"/>
      <c r="L1263" s="92"/>
      <c r="M1263" s="92"/>
      <c r="N1263" s="92"/>
      <c r="O1263" s="92"/>
      <c r="P1263" s="92"/>
      <c r="Q1263" s="92"/>
    </row>
    <row r="1264" spans="1:17" s="69" customFormat="1" ht="10.5">
      <c r="A1264" s="75"/>
      <c r="J1264" s="92"/>
      <c r="K1264" s="92"/>
      <c r="L1264" s="92"/>
      <c r="M1264" s="92"/>
      <c r="N1264" s="92"/>
      <c r="O1264" s="92"/>
      <c r="P1264" s="92"/>
      <c r="Q1264" s="92"/>
    </row>
    <row r="1265" spans="1:17" s="69" customFormat="1" ht="10.5">
      <c r="A1265" s="75"/>
      <c r="J1265" s="92"/>
      <c r="K1265" s="92"/>
      <c r="L1265" s="92"/>
      <c r="M1265" s="92"/>
      <c r="N1265" s="92"/>
      <c r="O1265" s="92"/>
      <c r="P1265" s="92"/>
      <c r="Q1265" s="92"/>
    </row>
    <row r="1266" spans="1:17" s="69" customFormat="1" ht="10.5">
      <c r="A1266" s="75"/>
      <c r="J1266" s="92"/>
      <c r="K1266" s="92"/>
      <c r="L1266" s="92"/>
      <c r="M1266" s="92"/>
      <c r="N1266" s="92"/>
      <c r="O1266" s="92"/>
      <c r="P1266" s="92"/>
      <c r="Q1266" s="92"/>
    </row>
    <row r="1267" spans="1:17" s="69" customFormat="1" ht="10.5">
      <c r="A1267" s="75"/>
      <c r="J1267" s="92"/>
      <c r="K1267" s="92"/>
      <c r="L1267" s="92"/>
      <c r="M1267" s="92"/>
      <c r="N1267" s="92"/>
      <c r="O1267" s="92"/>
      <c r="P1267" s="92"/>
      <c r="Q1267" s="92"/>
    </row>
    <row r="1268" spans="1:17" s="69" customFormat="1" ht="10.5">
      <c r="A1268" s="75"/>
      <c r="J1268" s="92"/>
      <c r="K1268" s="92"/>
      <c r="L1268" s="92"/>
      <c r="M1268" s="92"/>
      <c r="N1268" s="92"/>
      <c r="O1268" s="92"/>
      <c r="P1268" s="92"/>
      <c r="Q1268" s="92"/>
    </row>
    <row r="1269" spans="1:17" s="69" customFormat="1" ht="10.5">
      <c r="A1269" s="75"/>
      <c r="J1269" s="92"/>
      <c r="K1269" s="92"/>
      <c r="L1269" s="92"/>
      <c r="M1269" s="92"/>
      <c r="N1269" s="92"/>
      <c r="O1269" s="92"/>
      <c r="P1269" s="92"/>
      <c r="Q1269" s="92"/>
    </row>
    <row r="1270" spans="1:17" s="69" customFormat="1" ht="10.5">
      <c r="A1270" s="75"/>
      <c r="J1270" s="92"/>
      <c r="K1270" s="92"/>
      <c r="L1270" s="92"/>
      <c r="M1270" s="92"/>
      <c r="N1270" s="92"/>
      <c r="O1270" s="92"/>
      <c r="P1270" s="92"/>
      <c r="Q1270" s="92"/>
    </row>
    <row r="1271" spans="1:17" s="69" customFormat="1" ht="10.5">
      <c r="A1271" s="75"/>
      <c r="J1271" s="92"/>
      <c r="K1271" s="92"/>
      <c r="L1271" s="92"/>
      <c r="M1271" s="92"/>
      <c r="N1271" s="92"/>
      <c r="O1271" s="92"/>
      <c r="P1271" s="92"/>
      <c r="Q1271" s="92"/>
    </row>
    <row r="1272" spans="1:17" s="69" customFormat="1" ht="10.5">
      <c r="A1272" s="75"/>
      <c r="J1272" s="92"/>
      <c r="K1272" s="92"/>
      <c r="L1272" s="92"/>
      <c r="M1272" s="92"/>
      <c r="N1272" s="92"/>
      <c r="O1272" s="92"/>
      <c r="P1272" s="92"/>
      <c r="Q1272" s="92"/>
    </row>
    <row r="1273" spans="1:17" s="69" customFormat="1" ht="10.5">
      <c r="A1273" s="75"/>
      <c r="J1273" s="92"/>
      <c r="K1273" s="92"/>
      <c r="L1273" s="92"/>
      <c r="M1273" s="92"/>
      <c r="N1273" s="92"/>
      <c r="O1273" s="92"/>
      <c r="P1273" s="92"/>
      <c r="Q1273" s="92"/>
    </row>
    <row r="1274" spans="1:17" s="69" customFormat="1" ht="10.5">
      <c r="A1274" s="75"/>
      <c r="J1274" s="92"/>
      <c r="K1274" s="92"/>
      <c r="L1274" s="92"/>
      <c r="M1274" s="92"/>
      <c r="N1274" s="92"/>
      <c r="O1274" s="92"/>
      <c r="P1274" s="92"/>
      <c r="Q1274" s="92"/>
    </row>
    <row r="1275" spans="1:17" s="69" customFormat="1" ht="10.5">
      <c r="A1275" s="75"/>
      <c r="J1275" s="92"/>
      <c r="K1275" s="92"/>
      <c r="L1275" s="92"/>
      <c r="M1275" s="92"/>
      <c r="N1275" s="92"/>
      <c r="O1275" s="92"/>
      <c r="P1275" s="92"/>
      <c r="Q1275" s="92"/>
    </row>
    <row r="1276" spans="1:17" s="69" customFormat="1" ht="10.5">
      <c r="A1276" s="75"/>
      <c r="J1276" s="92"/>
      <c r="K1276" s="92"/>
      <c r="L1276" s="92"/>
      <c r="M1276" s="92"/>
      <c r="N1276" s="92"/>
      <c r="O1276" s="92"/>
      <c r="P1276" s="92"/>
      <c r="Q1276" s="92"/>
    </row>
    <row r="1277" spans="1:17" s="69" customFormat="1" ht="10.5">
      <c r="A1277" s="75"/>
      <c r="J1277" s="92"/>
      <c r="K1277" s="92"/>
      <c r="L1277" s="92"/>
      <c r="M1277" s="92"/>
      <c r="N1277" s="92"/>
      <c r="O1277" s="92"/>
      <c r="P1277" s="92"/>
      <c r="Q1277" s="92"/>
    </row>
    <row r="1278" spans="1:17" s="69" customFormat="1" ht="10.5">
      <c r="A1278" s="75"/>
      <c r="J1278" s="92"/>
      <c r="K1278" s="92"/>
      <c r="L1278" s="92"/>
      <c r="M1278" s="92"/>
      <c r="N1278" s="92"/>
      <c r="O1278" s="92"/>
      <c r="P1278" s="92"/>
      <c r="Q1278" s="92"/>
    </row>
    <row r="1279" spans="1:17" s="69" customFormat="1" ht="10.5">
      <c r="A1279" s="75"/>
      <c r="J1279" s="92"/>
      <c r="K1279" s="92"/>
      <c r="L1279" s="92"/>
      <c r="M1279" s="92"/>
      <c r="N1279" s="92"/>
      <c r="O1279" s="92"/>
      <c r="P1279" s="92"/>
      <c r="Q1279" s="92"/>
    </row>
    <row r="1280" spans="1:17" s="69" customFormat="1" ht="10.5">
      <c r="A1280" s="75"/>
      <c r="J1280" s="92"/>
      <c r="K1280" s="92"/>
      <c r="L1280" s="92"/>
      <c r="M1280" s="92"/>
      <c r="N1280" s="92"/>
      <c r="O1280" s="92"/>
      <c r="P1280" s="92"/>
      <c r="Q1280" s="92"/>
    </row>
    <row r="1281" spans="1:17" s="69" customFormat="1" ht="10.5">
      <c r="A1281" s="75"/>
      <c r="J1281" s="92"/>
      <c r="K1281" s="92"/>
      <c r="L1281" s="92"/>
      <c r="M1281" s="92"/>
      <c r="N1281" s="92"/>
      <c r="O1281" s="92"/>
      <c r="P1281" s="92"/>
      <c r="Q1281" s="92"/>
    </row>
    <row r="1282" spans="1:17" s="69" customFormat="1" ht="10.5">
      <c r="A1282" s="75"/>
      <c r="J1282" s="92"/>
      <c r="K1282" s="92"/>
      <c r="L1282" s="92"/>
      <c r="M1282" s="92"/>
      <c r="N1282" s="92"/>
      <c r="O1282" s="92"/>
      <c r="P1282" s="92"/>
      <c r="Q1282" s="92"/>
    </row>
    <row r="1283" spans="1:17" s="69" customFormat="1" ht="10.5">
      <c r="A1283" s="75"/>
      <c r="J1283" s="92"/>
      <c r="K1283" s="92"/>
      <c r="L1283" s="92"/>
      <c r="M1283" s="92"/>
      <c r="N1283" s="92"/>
      <c r="O1283" s="92"/>
      <c r="P1283" s="92"/>
      <c r="Q1283" s="92"/>
    </row>
    <row r="1284" spans="1:17" s="69" customFormat="1" ht="10.5">
      <c r="A1284" s="75"/>
      <c r="J1284" s="92"/>
      <c r="K1284" s="92"/>
      <c r="L1284" s="92"/>
      <c r="M1284" s="92"/>
      <c r="N1284" s="92"/>
      <c r="O1284" s="92"/>
      <c r="P1284" s="92"/>
      <c r="Q1284" s="92"/>
    </row>
    <row r="1285" spans="1:17" s="69" customFormat="1" ht="10.5">
      <c r="A1285" s="75"/>
      <c r="J1285" s="92"/>
      <c r="K1285" s="92"/>
      <c r="L1285" s="92"/>
      <c r="M1285" s="92"/>
      <c r="N1285" s="92"/>
      <c r="O1285" s="92"/>
      <c r="P1285" s="92"/>
      <c r="Q1285" s="92"/>
    </row>
    <row r="1286" spans="1:17" s="69" customFormat="1" ht="10.5">
      <c r="A1286" s="75"/>
      <c r="J1286" s="92"/>
      <c r="K1286" s="92"/>
      <c r="L1286" s="92"/>
      <c r="M1286" s="92"/>
      <c r="N1286" s="92"/>
      <c r="O1286" s="92"/>
      <c r="P1286" s="92"/>
      <c r="Q1286" s="92"/>
    </row>
    <row r="1287" spans="1:17" s="69" customFormat="1" ht="10.5">
      <c r="A1287" s="75"/>
      <c r="J1287" s="92"/>
      <c r="K1287" s="92"/>
      <c r="L1287" s="92"/>
      <c r="M1287" s="92"/>
      <c r="N1287" s="92"/>
      <c r="O1287" s="92"/>
      <c r="P1287" s="92"/>
      <c r="Q1287" s="92"/>
    </row>
    <row r="1288" spans="1:17" s="69" customFormat="1" ht="10.5">
      <c r="A1288" s="75"/>
      <c r="J1288" s="92"/>
      <c r="K1288" s="92"/>
      <c r="L1288" s="92"/>
      <c r="M1288" s="92"/>
      <c r="N1288" s="92"/>
      <c r="O1288" s="92"/>
      <c r="P1288" s="92"/>
      <c r="Q1288" s="92"/>
    </row>
    <row r="1289" spans="1:17" s="69" customFormat="1" ht="10.5">
      <c r="A1289" s="75"/>
      <c r="J1289" s="92"/>
      <c r="K1289" s="92"/>
      <c r="L1289" s="92"/>
      <c r="M1289" s="92"/>
      <c r="N1289" s="92"/>
      <c r="O1289" s="92"/>
      <c r="P1289" s="92"/>
      <c r="Q1289" s="92"/>
    </row>
    <row r="1290" spans="1:17" s="69" customFormat="1" ht="10.5">
      <c r="A1290" s="75"/>
      <c r="J1290" s="92"/>
      <c r="K1290" s="92"/>
      <c r="L1290" s="92"/>
      <c r="M1290" s="92"/>
      <c r="N1290" s="92"/>
      <c r="O1290" s="92"/>
      <c r="P1290" s="92"/>
      <c r="Q1290" s="92"/>
    </row>
    <row r="1291" spans="1:17" s="69" customFormat="1" ht="10.5">
      <c r="A1291" s="75"/>
      <c r="J1291" s="92"/>
      <c r="K1291" s="92"/>
      <c r="L1291" s="92"/>
      <c r="M1291" s="92"/>
      <c r="N1291" s="92"/>
      <c r="O1291" s="92"/>
      <c r="P1291" s="92"/>
      <c r="Q1291" s="92"/>
    </row>
    <row r="1292" spans="1:17" s="69" customFormat="1" ht="10.5">
      <c r="A1292" s="75"/>
      <c r="J1292" s="92"/>
      <c r="K1292" s="92"/>
      <c r="L1292" s="92"/>
      <c r="M1292" s="92"/>
      <c r="N1292" s="92"/>
      <c r="O1292" s="92"/>
      <c r="P1292" s="92"/>
      <c r="Q1292" s="92"/>
    </row>
    <row r="1293" spans="1:17" s="69" customFormat="1" ht="10.5">
      <c r="A1293" s="75"/>
      <c r="J1293" s="92"/>
      <c r="K1293" s="92"/>
      <c r="L1293" s="92"/>
      <c r="M1293" s="92"/>
      <c r="N1293" s="92"/>
      <c r="O1293" s="92"/>
      <c r="P1293" s="92"/>
      <c r="Q1293" s="92"/>
    </row>
    <row r="1294" spans="1:17" s="69" customFormat="1" ht="10.5">
      <c r="A1294" s="75"/>
      <c r="J1294" s="92"/>
      <c r="K1294" s="92"/>
      <c r="L1294" s="92"/>
      <c r="M1294" s="92"/>
      <c r="N1294" s="92"/>
      <c r="O1294" s="92"/>
      <c r="P1294" s="92"/>
      <c r="Q1294" s="92"/>
    </row>
    <row r="1295" spans="1:17" s="69" customFormat="1" ht="10.5">
      <c r="A1295" s="75"/>
      <c r="J1295" s="92"/>
      <c r="K1295" s="92"/>
      <c r="L1295" s="92"/>
      <c r="M1295" s="92"/>
      <c r="N1295" s="92"/>
      <c r="O1295" s="92"/>
      <c r="P1295" s="92"/>
      <c r="Q1295" s="92"/>
    </row>
    <row r="1296" spans="1:17" s="69" customFormat="1" ht="10.5">
      <c r="A1296" s="75"/>
      <c r="J1296" s="92"/>
      <c r="K1296" s="92"/>
      <c r="L1296" s="92"/>
      <c r="M1296" s="92"/>
      <c r="N1296" s="92"/>
      <c r="O1296" s="92"/>
      <c r="P1296" s="92"/>
      <c r="Q1296" s="92"/>
    </row>
    <row r="1297" spans="1:17" s="69" customFormat="1" ht="10.5">
      <c r="A1297" s="75"/>
      <c r="J1297" s="92"/>
      <c r="K1297" s="92"/>
      <c r="L1297" s="92"/>
      <c r="M1297" s="92"/>
      <c r="N1297" s="92"/>
      <c r="O1297" s="92"/>
      <c r="P1297" s="92"/>
      <c r="Q1297" s="92"/>
    </row>
    <row r="1298" spans="1:17" s="69" customFormat="1" ht="10.5">
      <c r="A1298" s="75"/>
      <c r="J1298" s="92"/>
      <c r="K1298" s="92"/>
      <c r="L1298" s="92"/>
      <c r="M1298" s="92"/>
      <c r="N1298" s="92"/>
      <c r="O1298" s="92"/>
      <c r="P1298" s="92"/>
      <c r="Q1298" s="92"/>
    </row>
    <row r="1299" spans="1:17" s="69" customFormat="1" ht="10.5">
      <c r="A1299" s="75"/>
      <c r="J1299" s="92"/>
      <c r="K1299" s="92"/>
      <c r="L1299" s="92"/>
      <c r="M1299" s="92"/>
      <c r="N1299" s="92"/>
      <c r="O1299" s="92"/>
      <c r="P1299" s="92"/>
      <c r="Q1299" s="92"/>
    </row>
    <row r="1300" spans="1:17" s="69" customFormat="1" ht="10.5">
      <c r="A1300" s="75"/>
      <c r="J1300" s="92"/>
      <c r="K1300" s="92"/>
      <c r="L1300" s="92"/>
      <c r="M1300" s="92"/>
      <c r="N1300" s="92"/>
      <c r="O1300" s="92"/>
      <c r="P1300" s="92"/>
      <c r="Q1300" s="92"/>
    </row>
    <row r="1301" spans="1:17" s="69" customFormat="1" ht="10.5">
      <c r="A1301" s="75"/>
      <c r="J1301" s="92"/>
      <c r="K1301" s="92"/>
      <c r="L1301" s="92"/>
      <c r="M1301" s="92"/>
      <c r="N1301" s="92"/>
      <c r="O1301" s="92"/>
      <c r="P1301" s="92"/>
      <c r="Q1301" s="92"/>
    </row>
    <row r="1302" spans="1:17" s="69" customFormat="1" ht="10.5">
      <c r="A1302" s="75"/>
      <c r="J1302" s="92"/>
      <c r="K1302" s="92"/>
      <c r="L1302" s="92"/>
      <c r="M1302" s="92"/>
      <c r="N1302" s="92"/>
      <c r="O1302" s="92"/>
      <c r="P1302" s="92"/>
      <c r="Q1302" s="92"/>
    </row>
    <row r="1303" spans="1:17" s="69" customFormat="1" ht="10.5">
      <c r="A1303" s="75"/>
      <c r="J1303" s="92"/>
      <c r="K1303" s="92"/>
      <c r="L1303" s="92"/>
      <c r="M1303" s="92"/>
      <c r="N1303" s="92"/>
      <c r="O1303" s="92"/>
      <c r="P1303" s="92"/>
      <c r="Q1303" s="92"/>
    </row>
    <row r="1304" spans="1:17" s="69" customFormat="1" ht="10.5">
      <c r="A1304" s="75"/>
      <c r="J1304" s="92"/>
      <c r="K1304" s="92"/>
      <c r="L1304" s="92"/>
      <c r="M1304" s="92"/>
      <c r="N1304" s="92"/>
      <c r="O1304" s="92"/>
      <c r="P1304" s="92"/>
      <c r="Q1304" s="92"/>
    </row>
    <row r="1305" spans="1:17" s="69" customFormat="1" ht="10.5">
      <c r="A1305" s="75"/>
      <c r="J1305" s="92"/>
      <c r="K1305" s="92"/>
      <c r="L1305" s="92"/>
      <c r="M1305" s="92"/>
      <c r="N1305" s="92"/>
      <c r="O1305" s="92"/>
      <c r="P1305" s="92"/>
      <c r="Q1305" s="92"/>
    </row>
    <row r="1306" spans="1:17" s="69" customFormat="1" ht="10.5">
      <c r="A1306" s="75"/>
      <c r="J1306" s="92"/>
      <c r="K1306" s="92"/>
      <c r="L1306" s="92"/>
      <c r="M1306" s="92"/>
      <c r="N1306" s="92"/>
      <c r="O1306" s="92"/>
      <c r="P1306" s="92"/>
      <c r="Q1306" s="92"/>
    </row>
    <row r="1307" spans="1:17" s="69" customFormat="1" ht="10.5">
      <c r="A1307" s="75"/>
      <c r="J1307" s="92"/>
      <c r="K1307" s="92"/>
      <c r="L1307" s="92"/>
      <c r="M1307" s="92"/>
      <c r="N1307" s="92"/>
      <c r="O1307" s="92"/>
      <c r="P1307" s="92"/>
      <c r="Q1307" s="92"/>
    </row>
    <row r="1308" spans="1:17" s="69" customFormat="1" ht="10.5">
      <c r="A1308" s="75"/>
      <c r="J1308" s="92"/>
      <c r="K1308" s="92"/>
      <c r="L1308" s="92"/>
      <c r="M1308" s="92"/>
      <c r="N1308" s="92"/>
      <c r="O1308" s="92"/>
      <c r="P1308" s="92"/>
      <c r="Q1308" s="92"/>
    </row>
    <row r="1309" spans="1:17" s="69" customFormat="1" ht="10.5">
      <c r="A1309" s="75"/>
      <c r="J1309" s="92"/>
      <c r="K1309" s="92"/>
      <c r="L1309" s="92"/>
      <c r="M1309" s="92"/>
      <c r="N1309" s="92"/>
      <c r="O1309" s="92"/>
      <c r="P1309" s="92"/>
      <c r="Q1309" s="92"/>
    </row>
    <row r="1310" spans="1:17" s="69" customFormat="1" ht="10.5">
      <c r="A1310" s="75"/>
      <c r="J1310" s="92"/>
      <c r="K1310" s="92"/>
      <c r="L1310" s="92"/>
      <c r="M1310" s="92"/>
      <c r="N1310" s="92"/>
      <c r="O1310" s="92"/>
      <c r="P1310" s="92"/>
      <c r="Q1310" s="92"/>
    </row>
    <row r="1311" spans="1:17" s="69" customFormat="1" ht="10.5">
      <c r="A1311" s="75"/>
      <c r="J1311" s="92"/>
      <c r="K1311" s="92"/>
      <c r="L1311" s="92"/>
      <c r="M1311" s="92"/>
      <c r="N1311" s="92"/>
      <c r="O1311" s="92"/>
      <c r="P1311" s="92"/>
      <c r="Q1311" s="92"/>
    </row>
    <row r="1312" spans="1:17" s="69" customFormat="1" ht="10.5">
      <c r="A1312" s="75"/>
      <c r="J1312" s="92"/>
      <c r="K1312" s="92"/>
      <c r="L1312" s="92"/>
      <c r="M1312" s="92"/>
      <c r="N1312" s="92"/>
      <c r="O1312" s="92"/>
      <c r="P1312" s="92"/>
      <c r="Q1312" s="92"/>
    </row>
    <row r="1313" spans="1:17" s="69" customFormat="1" ht="10.5">
      <c r="A1313" s="75"/>
      <c r="J1313" s="92"/>
      <c r="K1313" s="92"/>
      <c r="L1313" s="92"/>
      <c r="M1313" s="92"/>
      <c r="N1313" s="92"/>
      <c r="O1313" s="92"/>
      <c r="P1313" s="92"/>
      <c r="Q1313" s="92"/>
    </row>
    <row r="1314" spans="1:17" s="69" customFormat="1" ht="10.5">
      <c r="A1314" s="75"/>
      <c r="J1314" s="92"/>
      <c r="K1314" s="92"/>
      <c r="L1314" s="92"/>
      <c r="M1314" s="92"/>
      <c r="N1314" s="92"/>
      <c r="O1314" s="92"/>
      <c r="P1314" s="92"/>
      <c r="Q1314" s="92"/>
    </row>
    <row r="1315" spans="1:17" s="69" customFormat="1" ht="10.5">
      <c r="A1315" s="75"/>
      <c r="J1315" s="92"/>
      <c r="K1315" s="92"/>
      <c r="L1315" s="92"/>
      <c r="M1315" s="92"/>
      <c r="N1315" s="92"/>
      <c r="O1315" s="92"/>
      <c r="P1315" s="92"/>
      <c r="Q1315" s="92"/>
    </row>
    <row r="1316" spans="1:17" s="69" customFormat="1" ht="10.5">
      <c r="A1316" s="75"/>
      <c r="J1316" s="92"/>
      <c r="K1316" s="92"/>
      <c r="L1316" s="92"/>
      <c r="M1316" s="92"/>
      <c r="N1316" s="92"/>
      <c r="O1316" s="92"/>
      <c r="P1316" s="92"/>
      <c r="Q1316" s="92"/>
    </row>
    <row r="1317" spans="1:17" s="69" customFormat="1" ht="10.5">
      <c r="A1317" s="75"/>
      <c r="J1317" s="92"/>
      <c r="K1317" s="92"/>
      <c r="L1317" s="92"/>
      <c r="M1317" s="92"/>
      <c r="N1317" s="92"/>
      <c r="O1317" s="92"/>
      <c r="P1317" s="92"/>
      <c r="Q1317" s="92"/>
    </row>
    <row r="1318" spans="1:17" s="69" customFormat="1" ht="10.5">
      <c r="A1318" s="75"/>
      <c r="J1318" s="92"/>
      <c r="K1318" s="92"/>
      <c r="L1318" s="92"/>
      <c r="M1318" s="92"/>
      <c r="N1318" s="92"/>
      <c r="O1318" s="92"/>
      <c r="P1318" s="92"/>
      <c r="Q1318" s="92"/>
    </row>
    <row r="1319" spans="1:17" s="69" customFormat="1" ht="10.5">
      <c r="A1319" s="75"/>
      <c r="J1319" s="92"/>
      <c r="K1319" s="92"/>
      <c r="L1319" s="92"/>
      <c r="M1319" s="92"/>
      <c r="N1319" s="92"/>
      <c r="O1319" s="92"/>
      <c r="P1319" s="92"/>
      <c r="Q1319" s="92"/>
    </row>
    <row r="1320" spans="1:17" s="69" customFormat="1" ht="10.5">
      <c r="A1320" s="75"/>
      <c r="J1320" s="92"/>
      <c r="K1320" s="92"/>
      <c r="L1320" s="92"/>
      <c r="M1320" s="92"/>
      <c r="N1320" s="92"/>
      <c r="O1320" s="92"/>
      <c r="P1320" s="92"/>
      <c r="Q1320" s="92"/>
    </row>
    <row r="1321" spans="1:17" s="69" customFormat="1" ht="10.5">
      <c r="A1321" s="75"/>
      <c r="J1321" s="92"/>
      <c r="K1321" s="92"/>
      <c r="L1321" s="92"/>
      <c r="M1321" s="92"/>
      <c r="N1321" s="92"/>
      <c r="O1321" s="92"/>
      <c r="P1321" s="92"/>
      <c r="Q1321" s="92"/>
    </row>
    <row r="1322" spans="1:17" s="69" customFormat="1" ht="10.5">
      <c r="A1322" s="75"/>
      <c r="J1322" s="92"/>
      <c r="K1322" s="92"/>
      <c r="L1322" s="92"/>
      <c r="M1322" s="92"/>
      <c r="N1322" s="92"/>
      <c r="O1322" s="92"/>
      <c r="P1322" s="92"/>
      <c r="Q1322" s="92"/>
    </row>
    <row r="1323" spans="1:17" s="69" customFormat="1" ht="10.5">
      <c r="A1323" s="75"/>
      <c r="J1323" s="92"/>
      <c r="K1323" s="92"/>
      <c r="L1323" s="92"/>
      <c r="M1323" s="92"/>
      <c r="N1323" s="92"/>
      <c r="O1323" s="92"/>
      <c r="P1323" s="92"/>
      <c r="Q1323" s="92"/>
    </row>
    <row r="1324" spans="1:17" s="69" customFormat="1" ht="10.5">
      <c r="A1324" s="75"/>
      <c r="J1324" s="92"/>
      <c r="K1324" s="92"/>
      <c r="L1324" s="92"/>
      <c r="M1324" s="92"/>
      <c r="N1324" s="92"/>
      <c r="O1324" s="92"/>
      <c r="P1324" s="92"/>
      <c r="Q1324" s="92"/>
    </row>
    <row r="1325" spans="1:17" s="69" customFormat="1" ht="10.5">
      <c r="A1325" s="75"/>
      <c r="J1325" s="92"/>
      <c r="K1325" s="92"/>
      <c r="L1325" s="92"/>
      <c r="M1325" s="92"/>
      <c r="N1325" s="92"/>
      <c r="O1325" s="92"/>
      <c r="P1325" s="92"/>
      <c r="Q1325" s="92"/>
    </row>
    <row r="1326" spans="1:17" s="69" customFormat="1" ht="10.5">
      <c r="A1326" s="75"/>
      <c r="J1326" s="92"/>
      <c r="K1326" s="92"/>
      <c r="L1326" s="92"/>
      <c r="M1326" s="92"/>
      <c r="N1326" s="92"/>
      <c r="O1326" s="92"/>
      <c r="P1326" s="92"/>
      <c r="Q1326" s="92"/>
    </row>
    <row r="1327" spans="1:17" s="69" customFormat="1" ht="10.5">
      <c r="A1327" s="75"/>
      <c r="J1327" s="92"/>
      <c r="K1327" s="92"/>
      <c r="L1327" s="92"/>
      <c r="M1327" s="92"/>
      <c r="N1327" s="92"/>
      <c r="O1327" s="92"/>
      <c r="P1327" s="92"/>
      <c r="Q1327" s="92"/>
    </row>
    <row r="1328" spans="1:17" s="69" customFormat="1" ht="10.5">
      <c r="A1328" s="75"/>
      <c r="J1328" s="92"/>
      <c r="K1328" s="92"/>
      <c r="L1328" s="92"/>
      <c r="M1328" s="92"/>
      <c r="N1328" s="92"/>
      <c r="O1328" s="92"/>
      <c r="P1328" s="92"/>
      <c r="Q1328" s="92"/>
    </row>
    <row r="1329" spans="1:17" s="69" customFormat="1" ht="10.5">
      <c r="A1329" s="75"/>
      <c r="J1329" s="92"/>
      <c r="K1329" s="92"/>
      <c r="L1329" s="92"/>
      <c r="M1329" s="92"/>
      <c r="N1329" s="92"/>
      <c r="O1329" s="92"/>
      <c r="P1329" s="92"/>
      <c r="Q1329" s="92"/>
    </row>
    <row r="1330" spans="1:17" s="69" customFormat="1" ht="10.5">
      <c r="A1330" s="75"/>
      <c r="J1330" s="92"/>
      <c r="K1330" s="92"/>
      <c r="L1330" s="92"/>
      <c r="M1330" s="92"/>
      <c r="N1330" s="92"/>
      <c r="O1330" s="92"/>
      <c r="P1330" s="92"/>
      <c r="Q1330" s="92"/>
    </row>
    <row r="1331" spans="1:17" s="69" customFormat="1" ht="10.5">
      <c r="A1331" s="75"/>
      <c r="J1331" s="92"/>
      <c r="K1331" s="92"/>
      <c r="L1331" s="92"/>
      <c r="M1331" s="92"/>
      <c r="N1331" s="92"/>
      <c r="O1331" s="92"/>
      <c r="P1331" s="92"/>
      <c r="Q1331" s="92"/>
    </row>
    <row r="1332" spans="1:17" s="69" customFormat="1" ht="10.5">
      <c r="A1332" s="75"/>
      <c r="J1332" s="92"/>
      <c r="K1332" s="92"/>
      <c r="L1332" s="92"/>
      <c r="M1332" s="92"/>
      <c r="N1332" s="92"/>
      <c r="O1332" s="92"/>
      <c r="P1332" s="92"/>
      <c r="Q1332" s="92"/>
    </row>
    <row r="1333" spans="1:17" s="69" customFormat="1" ht="10.5">
      <c r="A1333" s="75"/>
      <c r="J1333" s="92"/>
      <c r="K1333" s="92"/>
      <c r="L1333" s="92"/>
      <c r="M1333" s="92"/>
      <c r="N1333" s="92"/>
      <c r="O1333" s="92"/>
      <c r="P1333" s="92"/>
      <c r="Q1333" s="92"/>
    </row>
    <row r="1334" spans="1:17" s="69" customFormat="1" ht="10.5">
      <c r="A1334" s="75"/>
      <c r="J1334" s="92"/>
      <c r="K1334" s="92"/>
      <c r="L1334" s="92"/>
      <c r="M1334" s="92"/>
      <c r="N1334" s="92"/>
      <c r="O1334" s="92"/>
      <c r="P1334" s="92"/>
      <c r="Q1334" s="92"/>
    </row>
    <row r="1335" spans="1:17" s="69" customFormat="1" ht="10.5">
      <c r="A1335" s="75"/>
      <c r="J1335" s="92"/>
      <c r="K1335" s="92"/>
      <c r="L1335" s="92"/>
      <c r="M1335" s="92"/>
      <c r="N1335" s="92"/>
      <c r="O1335" s="92"/>
      <c r="P1335" s="92"/>
      <c r="Q1335" s="92"/>
    </row>
    <row r="1336" spans="1:17" s="69" customFormat="1" ht="10.5">
      <c r="A1336" s="75"/>
      <c r="J1336" s="92"/>
      <c r="K1336" s="92"/>
      <c r="L1336" s="92"/>
      <c r="M1336" s="92"/>
      <c r="N1336" s="92"/>
      <c r="O1336" s="92"/>
      <c r="P1336" s="92"/>
      <c r="Q1336" s="92"/>
    </row>
    <row r="1337" spans="1:17" s="69" customFormat="1" ht="10.5">
      <c r="A1337" s="75"/>
      <c r="J1337" s="92"/>
      <c r="K1337" s="92"/>
      <c r="L1337" s="92"/>
      <c r="M1337" s="92"/>
      <c r="N1337" s="92"/>
      <c r="O1337" s="92"/>
      <c r="P1337" s="92"/>
      <c r="Q1337" s="92"/>
    </row>
    <row r="1338" spans="1:17" s="69" customFormat="1" ht="10.5">
      <c r="A1338" s="75"/>
      <c r="J1338" s="92"/>
      <c r="K1338" s="92"/>
      <c r="L1338" s="92"/>
      <c r="M1338" s="92"/>
      <c r="N1338" s="92"/>
      <c r="O1338" s="92"/>
      <c r="P1338" s="92"/>
      <c r="Q1338" s="92"/>
    </row>
    <row r="1339" spans="1:17" s="69" customFormat="1" ht="10.5">
      <c r="A1339" s="75"/>
      <c r="J1339" s="92"/>
      <c r="K1339" s="92"/>
      <c r="L1339" s="92"/>
      <c r="M1339" s="92"/>
      <c r="N1339" s="92"/>
      <c r="O1339" s="92"/>
      <c r="P1339" s="92"/>
      <c r="Q1339" s="92"/>
    </row>
    <row r="1340" spans="1:17" s="69" customFormat="1" ht="10.5">
      <c r="A1340" s="75"/>
      <c r="J1340" s="92"/>
      <c r="K1340" s="92"/>
      <c r="L1340" s="92"/>
      <c r="M1340" s="92"/>
      <c r="N1340" s="92"/>
      <c r="O1340" s="92"/>
      <c r="P1340" s="92"/>
      <c r="Q1340" s="92"/>
    </row>
    <row r="1341" spans="1:17" s="69" customFormat="1" ht="10.5">
      <c r="A1341" s="75"/>
      <c r="J1341" s="92"/>
      <c r="K1341" s="92"/>
      <c r="L1341" s="92"/>
      <c r="M1341" s="92"/>
      <c r="N1341" s="92"/>
      <c r="O1341" s="92"/>
      <c r="P1341" s="92"/>
      <c r="Q1341" s="92"/>
    </row>
    <row r="1342" spans="1:17" s="69" customFormat="1" ht="10.5">
      <c r="A1342" s="75"/>
      <c r="J1342" s="92"/>
      <c r="K1342" s="92"/>
      <c r="L1342" s="92"/>
      <c r="M1342" s="92"/>
      <c r="N1342" s="92"/>
      <c r="O1342" s="92"/>
      <c r="P1342" s="92"/>
      <c r="Q1342" s="92"/>
    </row>
    <row r="1343" spans="1:17" s="69" customFormat="1" ht="10.5">
      <c r="A1343" s="75"/>
      <c r="J1343" s="92"/>
      <c r="K1343" s="92"/>
      <c r="L1343" s="92"/>
      <c r="M1343" s="92"/>
      <c r="N1343" s="92"/>
      <c r="O1343" s="92"/>
      <c r="P1343" s="92"/>
      <c r="Q1343" s="92"/>
    </row>
    <row r="1344" spans="1:17" s="69" customFormat="1" ht="10.5">
      <c r="A1344" s="75"/>
      <c r="J1344" s="92"/>
      <c r="K1344" s="92"/>
      <c r="L1344" s="92"/>
      <c r="M1344" s="92"/>
      <c r="N1344" s="92"/>
      <c r="O1344" s="92"/>
      <c r="P1344" s="92"/>
      <c r="Q1344" s="92"/>
    </row>
    <row r="1345" spans="1:17" s="69" customFormat="1" ht="10.5">
      <c r="A1345" s="75"/>
      <c r="J1345" s="92"/>
      <c r="K1345" s="92"/>
      <c r="L1345" s="92"/>
      <c r="M1345" s="92"/>
      <c r="N1345" s="92"/>
      <c r="O1345" s="92"/>
      <c r="P1345" s="92"/>
      <c r="Q1345" s="92"/>
    </row>
    <row r="1346" spans="1:17" s="69" customFormat="1" ht="10.5">
      <c r="A1346" s="75"/>
      <c r="J1346" s="92"/>
      <c r="K1346" s="92"/>
      <c r="L1346" s="92"/>
      <c r="M1346" s="92"/>
      <c r="N1346" s="92"/>
      <c r="O1346" s="92"/>
      <c r="P1346" s="92"/>
      <c r="Q1346" s="92"/>
    </row>
    <row r="1347" spans="1:17" s="69" customFormat="1" ht="10.5">
      <c r="A1347" s="75"/>
      <c r="J1347" s="92"/>
      <c r="K1347" s="92"/>
      <c r="L1347" s="92"/>
      <c r="M1347" s="92"/>
      <c r="N1347" s="92"/>
      <c r="O1347" s="92"/>
      <c r="P1347" s="92"/>
      <c r="Q1347" s="92"/>
    </row>
    <row r="1348" spans="1:17" s="69" customFormat="1" ht="10.5">
      <c r="A1348" s="75"/>
      <c r="J1348" s="92"/>
      <c r="K1348" s="92"/>
      <c r="L1348" s="92"/>
      <c r="M1348" s="92"/>
      <c r="N1348" s="92"/>
      <c r="O1348" s="92"/>
      <c r="P1348" s="92"/>
      <c r="Q1348" s="92"/>
    </row>
    <row r="1349" spans="1:17" s="69" customFormat="1" ht="10.5">
      <c r="A1349" s="75"/>
      <c r="J1349" s="92"/>
      <c r="K1349" s="92"/>
      <c r="L1349" s="92"/>
      <c r="M1349" s="92"/>
      <c r="N1349" s="92"/>
      <c r="O1349" s="92"/>
      <c r="P1349" s="92"/>
      <c r="Q1349" s="92"/>
    </row>
    <row r="1350" spans="1:17" s="69" customFormat="1" ht="10.5">
      <c r="A1350" s="75"/>
      <c r="J1350" s="92"/>
      <c r="K1350" s="92"/>
      <c r="L1350" s="92"/>
      <c r="M1350" s="92"/>
      <c r="N1350" s="92"/>
      <c r="O1350" s="92"/>
      <c r="P1350" s="92"/>
      <c r="Q1350" s="92"/>
    </row>
    <row r="1351" spans="1:17" s="69" customFormat="1" ht="10.5">
      <c r="A1351" s="75"/>
      <c r="J1351" s="92"/>
      <c r="K1351" s="92"/>
      <c r="L1351" s="92"/>
      <c r="M1351" s="92"/>
      <c r="N1351" s="92"/>
      <c r="O1351" s="92"/>
      <c r="P1351" s="92"/>
      <c r="Q1351" s="92"/>
    </row>
    <row r="1352" spans="1:17" s="69" customFormat="1" ht="10.5">
      <c r="A1352" s="75"/>
      <c r="J1352" s="92"/>
      <c r="K1352" s="92"/>
      <c r="L1352" s="92"/>
      <c r="M1352" s="92"/>
      <c r="N1352" s="92"/>
      <c r="O1352" s="92"/>
      <c r="P1352" s="92"/>
      <c r="Q1352" s="92"/>
    </row>
    <row r="1353" spans="1:17" s="69" customFormat="1" ht="10.5">
      <c r="A1353" s="75"/>
      <c r="J1353" s="92"/>
      <c r="K1353" s="92"/>
      <c r="L1353" s="92"/>
      <c r="M1353" s="92"/>
      <c r="N1353" s="92"/>
      <c r="O1353" s="92"/>
      <c r="P1353" s="92"/>
      <c r="Q1353" s="92"/>
    </row>
    <row r="1354" spans="1:17" s="69" customFormat="1" ht="10.5">
      <c r="A1354" s="75"/>
      <c r="J1354" s="92"/>
      <c r="K1354" s="92"/>
      <c r="L1354" s="92"/>
      <c r="M1354" s="92"/>
      <c r="N1354" s="92"/>
      <c r="O1354" s="92"/>
      <c r="P1354" s="92"/>
      <c r="Q1354" s="92"/>
    </row>
    <row r="1355" spans="1:17" s="69" customFormat="1" ht="10.5">
      <c r="A1355" s="75"/>
      <c r="J1355" s="92"/>
      <c r="K1355" s="92"/>
      <c r="L1355" s="92"/>
      <c r="M1355" s="92"/>
      <c r="N1355" s="92"/>
      <c r="O1355" s="92"/>
      <c r="P1355" s="92"/>
      <c r="Q1355" s="92"/>
    </row>
    <row r="1356" spans="1:17" s="69" customFormat="1" ht="10.5">
      <c r="A1356" s="75"/>
      <c r="J1356" s="92"/>
      <c r="K1356" s="92"/>
      <c r="L1356" s="92"/>
      <c r="M1356" s="92"/>
      <c r="N1356" s="92"/>
      <c r="O1356" s="92"/>
      <c r="P1356" s="92"/>
      <c r="Q1356" s="92"/>
    </row>
    <row r="1357" spans="1:17" s="69" customFormat="1" ht="10.5">
      <c r="A1357" s="75"/>
      <c r="J1357" s="92"/>
      <c r="K1357" s="92"/>
      <c r="L1357" s="92"/>
      <c r="M1357" s="92"/>
      <c r="N1357" s="92"/>
      <c r="O1357" s="92"/>
      <c r="P1357" s="92"/>
      <c r="Q1357" s="92"/>
    </row>
    <row r="1358" spans="1:17" s="69" customFormat="1" ht="10.5">
      <c r="A1358" s="75"/>
      <c r="J1358" s="92"/>
      <c r="K1358" s="92"/>
      <c r="L1358" s="92"/>
      <c r="M1358" s="92"/>
      <c r="N1358" s="92"/>
      <c r="O1358" s="92"/>
      <c r="P1358" s="92"/>
      <c r="Q1358" s="92"/>
    </row>
    <row r="1359" spans="1:17" s="69" customFormat="1" ht="10.5">
      <c r="A1359" s="75"/>
      <c r="J1359" s="92"/>
      <c r="K1359" s="92"/>
      <c r="L1359" s="92"/>
      <c r="M1359" s="92"/>
      <c r="N1359" s="92"/>
      <c r="O1359" s="92"/>
      <c r="P1359" s="92"/>
      <c r="Q1359" s="92"/>
    </row>
    <row r="1360" spans="1:17" s="69" customFormat="1" ht="10.5">
      <c r="A1360" s="75"/>
      <c r="J1360" s="92"/>
      <c r="K1360" s="92"/>
      <c r="L1360" s="92"/>
      <c r="M1360" s="92"/>
      <c r="N1360" s="92"/>
      <c r="O1360" s="92"/>
      <c r="P1360" s="92"/>
      <c r="Q1360" s="92"/>
    </row>
    <row r="1361" spans="1:17" s="69" customFormat="1" ht="10.5">
      <c r="A1361" s="75"/>
      <c r="J1361" s="92"/>
      <c r="K1361" s="92"/>
      <c r="L1361" s="92"/>
      <c r="M1361" s="92"/>
      <c r="N1361" s="92"/>
      <c r="O1361" s="92"/>
      <c r="P1361" s="92"/>
      <c r="Q1361" s="92"/>
    </row>
    <row r="1362" spans="1:17" s="69" customFormat="1" ht="10.5">
      <c r="A1362" s="75"/>
      <c r="J1362" s="92"/>
      <c r="K1362" s="92"/>
      <c r="L1362" s="92"/>
      <c r="M1362" s="92"/>
      <c r="N1362" s="92"/>
      <c r="O1362" s="92"/>
      <c r="P1362" s="92"/>
      <c r="Q1362" s="92"/>
    </row>
    <row r="1363" spans="1:17" s="69" customFormat="1" ht="10.5">
      <c r="A1363" s="75"/>
      <c r="J1363" s="92"/>
      <c r="K1363" s="92"/>
      <c r="L1363" s="92"/>
      <c r="M1363" s="92"/>
      <c r="N1363" s="92"/>
      <c r="O1363" s="92"/>
      <c r="P1363" s="92"/>
      <c r="Q1363" s="92"/>
    </row>
    <row r="1364" spans="1:17" s="69" customFormat="1" ht="10.5">
      <c r="A1364" s="75"/>
      <c r="J1364" s="92"/>
      <c r="K1364" s="92"/>
      <c r="L1364" s="92"/>
      <c r="M1364" s="92"/>
      <c r="N1364" s="92"/>
      <c r="O1364" s="92"/>
      <c r="P1364" s="92"/>
      <c r="Q1364" s="92"/>
    </row>
    <row r="1365" spans="1:17" s="69" customFormat="1" ht="10.5">
      <c r="A1365" s="75"/>
      <c r="J1365" s="92"/>
      <c r="K1365" s="92"/>
      <c r="L1365" s="92"/>
      <c r="M1365" s="92"/>
      <c r="N1365" s="92"/>
      <c r="O1365" s="92"/>
      <c r="P1365" s="92"/>
      <c r="Q1365" s="92"/>
    </row>
    <row r="1366" spans="1:17" s="69" customFormat="1" ht="10.5">
      <c r="A1366" s="75"/>
      <c r="J1366" s="92"/>
      <c r="K1366" s="92"/>
      <c r="L1366" s="92"/>
      <c r="M1366" s="92"/>
      <c r="N1366" s="92"/>
      <c r="O1366" s="92"/>
      <c r="P1366" s="92"/>
      <c r="Q1366" s="92"/>
    </row>
    <row r="1367" spans="1:17" s="69" customFormat="1" ht="10.5">
      <c r="A1367" s="75"/>
      <c r="J1367" s="92"/>
      <c r="K1367" s="92"/>
      <c r="L1367" s="92"/>
      <c r="M1367" s="92"/>
      <c r="N1367" s="92"/>
      <c r="O1367" s="92"/>
      <c r="P1367" s="92"/>
      <c r="Q1367" s="92"/>
    </row>
    <row r="1368" spans="1:17" s="69" customFormat="1" ht="10.5">
      <c r="A1368" s="75"/>
      <c r="J1368" s="92"/>
      <c r="K1368" s="92"/>
      <c r="L1368" s="92"/>
      <c r="M1368" s="92"/>
      <c r="N1368" s="92"/>
      <c r="O1368" s="92"/>
      <c r="P1368" s="92"/>
      <c r="Q1368" s="92"/>
    </row>
    <row r="1369" spans="1:17" s="69" customFormat="1" ht="10.5">
      <c r="A1369" s="75"/>
      <c r="J1369" s="92"/>
      <c r="K1369" s="92"/>
      <c r="L1369" s="92"/>
      <c r="M1369" s="92"/>
      <c r="N1369" s="92"/>
      <c r="O1369" s="92"/>
      <c r="P1369" s="92"/>
      <c r="Q1369" s="92"/>
    </row>
    <row r="1370" spans="1:17" s="69" customFormat="1" ht="10.5">
      <c r="A1370" s="75"/>
      <c r="J1370" s="92"/>
      <c r="K1370" s="92"/>
      <c r="L1370" s="92"/>
      <c r="M1370" s="92"/>
      <c r="N1370" s="92"/>
      <c r="O1370" s="92"/>
      <c r="P1370" s="92"/>
      <c r="Q1370" s="92"/>
    </row>
    <row r="1371" spans="1:17" s="69" customFormat="1" ht="10.5">
      <c r="A1371" s="75"/>
      <c r="J1371" s="92"/>
      <c r="K1371" s="92"/>
      <c r="L1371" s="92"/>
      <c r="M1371" s="92"/>
      <c r="N1371" s="92"/>
      <c r="O1371" s="92"/>
      <c r="P1371" s="92"/>
      <c r="Q1371" s="92"/>
    </row>
    <row r="1372" spans="1:17" s="69" customFormat="1" ht="10.5">
      <c r="A1372" s="75"/>
      <c r="J1372" s="92"/>
      <c r="K1372" s="92"/>
      <c r="L1372" s="92"/>
      <c r="M1372" s="92"/>
      <c r="N1372" s="92"/>
      <c r="O1372" s="92"/>
      <c r="P1372" s="92"/>
      <c r="Q1372" s="92"/>
    </row>
    <row r="1373" spans="1:17" s="69" customFormat="1" ht="10.5">
      <c r="A1373" s="75"/>
      <c r="J1373" s="92"/>
      <c r="K1373" s="92"/>
      <c r="L1373" s="92"/>
      <c r="M1373" s="92"/>
      <c r="N1373" s="92"/>
      <c r="O1373" s="92"/>
      <c r="P1373" s="92"/>
      <c r="Q1373" s="92"/>
    </row>
    <row r="1374" spans="1:17" s="69" customFormat="1" ht="10.5">
      <c r="A1374" s="75"/>
      <c r="J1374" s="92"/>
      <c r="K1374" s="92"/>
      <c r="L1374" s="92"/>
      <c r="M1374" s="92"/>
      <c r="N1374" s="92"/>
      <c r="O1374" s="92"/>
      <c r="P1374" s="92"/>
      <c r="Q1374" s="92"/>
    </row>
    <row r="1375" spans="1:17" s="69" customFormat="1" ht="10.5">
      <c r="A1375" s="75"/>
      <c r="J1375" s="92"/>
      <c r="K1375" s="92"/>
      <c r="L1375" s="92"/>
      <c r="M1375" s="92"/>
      <c r="N1375" s="92"/>
      <c r="O1375" s="92"/>
      <c r="P1375" s="92"/>
      <c r="Q1375" s="92"/>
    </row>
    <row r="1376" spans="1:17" s="69" customFormat="1" ht="10.5">
      <c r="A1376" s="75"/>
      <c r="J1376" s="92"/>
      <c r="K1376" s="92"/>
      <c r="L1376" s="92"/>
      <c r="M1376" s="92"/>
      <c r="N1376" s="92"/>
      <c r="O1376" s="92"/>
      <c r="P1376" s="92"/>
      <c r="Q1376" s="92"/>
    </row>
    <row r="1377" spans="1:17" s="69" customFormat="1" ht="10.5">
      <c r="A1377" s="75"/>
      <c r="J1377" s="92"/>
      <c r="K1377" s="92"/>
      <c r="L1377" s="92"/>
      <c r="M1377" s="92"/>
      <c r="N1377" s="92"/>
      <c r="O1377" s="92"/>
      <c r="P1377" s="92"/>
      <c r="Q1377" s="92"/>
    </row>
    <row r="1378" spans="1:17" s="69" customFormat="1" ht="10.5">
      <c r="A1378" s="75"/>
      <c r="J1378" s="92"/>
      <c r="K1378" s="92"/>
      <c r="L1378" s="92"/>
      <c r="M1378" s="92"/>
      <c r="N1378" s="92"/>
      <c r="O1378" s="92"/>
      <c r="P1378" s="92"/>
      <c r="Q1378" s="92"/>
    </row>
    <row r="1379" spans="1:17" s="69" customFormat="1" ht="10.5">
      <c r="A1379" s="75"/>
      <c r="J1379" s="92"/>
      <c r="K1379" s="92"/>
      <c r="L1379" s="92"/>
      <c r="M1379" s="92"/>
      <c r="N1379" s="92"/>
      <c r="O1379" s="92"/>
      <c r="P1379" s="92"/>
      <c r="Q1379" s="92"/>
    </row>
    <row r="1380" spans="1:17" s="69" customFormat="1" ht="10.5">
      <c r="A1380" s="75"/>
      <c r="J1380" s="92"/>
      <c r="K1380" s="92"/>
      <c r="L1380" s="92"/>
      <c r="M1380" s="92"/>
      <c r="N1380" s="92"/>
      <c r="O1380" s="92"/>
      <c r="P1380" s="92"/>
      <c r="Q1380" s="92"/>
    </row>
    <row r="1381" spans="1:17" s="69" customFormat="1" ht="10.5">
      <c r="A1381" s="75"/>
      <c r="J1381" s="92"/>
      <c r="K1381" s="92"/>
      <c r="L1381" s="92"/>
      <c r="M1381" s="92"/>
      <c r="N1381" s="92"/>
      <c r="O1381" s="92"/>
      <c r="P1381" s="92"/>
      <c r="Q1381" s="92"/>
    </row>
    <row r="1382" spans="1:17" s="69" customFormat="1" ht="10.5">
      <c r="A1382" s="75"/>
      <c r="J1382" s="92"/>
      <c r="K1382" s="92"/>
      <c r="L1382" s="92"/>
      <c r="M1382" s="92"/>
      <c r="N1382" s="92"/>
      <c r="O1382" s="92"/>
      <c r="P1382" s="92"/>
      <c r="Q1382" s="92"/>
    </row>
    <row r="1383" spans="1:17" s="69" customFormat="1" ht="10.5">
      <c r="A1383" s="75"/>
      <c r="J1383" s="92"/>
      <c r="K1383" s="92"/>
      <c r="L1383" s="92"/>
      <c r="M1383" s="92"/>
      <c r="N1383" s="92"/>
      <c r="O1383" s="92"/>
      <c r="P1383" s="92"/>
      <c r="Q1383" s="92"/>
    </row>
    <row r="1384" spans="1:17" s="69" customFormat="1" ht="10.5">
      <c r="A1384" s="75"/>
      <c r="J1384" s="92"/>
      <c r="K1384" s="92"/>
      <c r="L1384" s="92"/>
      <c r="M1384" s="92"/>
      <c r="N1384" s="92"/>
      <c r="O1384" s="92"/>
      <c r="P1384" s="92"/>
      <c r="Q1384" s="92"/>
    </row>
    <row r="1385" spans="1:17" s="69" customFormat="1" ht="10.5">
      <c r="A1385" s="75"/>
      <c r="J1385" s="92"/>
      <c r="K1385" s="92"/>
      <c r="L1385" s="92"/>
      <c r="M1385" s="92"/>
      <c r="N1385" s="92"/>
      <c r="O1385" s="92"/>
      <c r="P1385" s="92"/>
      <c r="Q1385" s="92"/>
    </row>
    <row r="1386" spans="1:17" s="69" customFormat="1" ht="10.5">
      <c r="A1386" s="75"/>
      <c r="J1386" s="92"/>
      <c r="K1386" s="92"/>
      <c r="L1386" s="92"/>
      <c r="M1386" s="92"/>
      <c r="N1386" s="92"/>
      <c r="O1386" s="92"/>
      <c r="P1386" s="92"/>
      <c r="Q1386" s="92"/>
    </row>
    <row r="1387" spans="1:17" s="69" customFormat="1" ht="10.5">
      <c r="A1387" s="75"/>
      <c r="J1387" s="92"/>
      <c r="K1387" s="92"/>
      <c r="L1387" s="92"/>
      <c r="M1387" s="92"/>
      <c r="N1387" s="92"/>
      <c r="O1387" s="92"/>
      <c r="P1387" s="92"/>
      <c r="Q1387" s="92"/>
    </row>
    <row r="1388" spans="1:17" s="69" customFormat="1" ht="10.5">
      <c r="A1388" s="75"/>
      <c r="J1388" s="92"/>
      <c r="K1388" s="92"/>
      <c r="L1388" s="92"/>
      <c r="M1388" s="92"/>
      <c r="N1388" s="92"/>
      <c r="O1388" s="92"/>
      <c r="P1388" s="92"/>
      <c r="Q1388" s="92"/>
    </row>
    <row r="1389" spans="1:17" s="69" customFormat="1" ht="10.5">
      <c r="A1389" s="75"/>
      <c r="J1389" s="92"/>
      <c r="K1389" s="92"/>
      <c r="L1389" s="92"/>
      <c r="M1389" s="92"/>
      <c r="N1389" s="92"/>
      <c r="O1389" s="92"/>
      <c r="P1389" s="92"/>
      <c r="Q1389" s="92"/>
    </row>
    <row r="1390" spans="1:17" s="69" customFormat="1" ht="10.5">
      <c r="A1390" s="75"/>
      <c r="J1390" s="92"/>
      <c r="K1390" s="92"/>
      <c r="L1390" s="92"/>
      <c r="M1390" s="92"/>
      <c r="N1390" s="92"/>
      <c r="O1390" s="92"/>
      <c r="P1390" s="92"/>
      <c r="Q1390" s="92"/>
    </row>
    <row r="1391" spans="1:17" s="69" customFormat="1" ht="10.5">
      <c r="A1391" s="75"/>
      <c r="J1391" s="92"/>
      <c r="K1391" s="92"/>
      <c r="L1391" s="92"/>
      <c r="M1391" s="92"/>
      <c r="N1391" s="92"/>
      <c r="O1391" s="92"/>
      <c r="P1391" s="92"/>
      <c r="Q1391" s="92"/>
    </row>
    <row r="1392" spans="1:17" s="69" customFormat="1" ht="10.5">
      <c r="A1392" s="75"/>
      <c r="J1392" s="92"/>
      <c r="K1392" s="92"/>
      <c r="L1392" s="92"/>
      <c r="M1392" s="92"/>
      <c r="N1392" s="92"/>
      <c r="O1392" s="92"/>
      <c r="P1392" s="92"/>
      <c r="Q1392" s="92"/>
    </row>
    <row r="1393" spans="1:17" s="69" customFormat="1" ht="10.5">
      <c r="A1393" s="75"/>
      <c r="J1393" s="92"/>
      <c r="K1393" s="92"/>
      <c r="L1393" s="92"/>
      <c r="M1393" s="92"/>
      <c r="N1393" s="92"/>
      <c r="O1393" s="92"/>
      <c r="P1393" s="92"/>
      <c r="Q1393" s="92"/>
    </row>
    <row r="1394" spans="1:17" s="69" customFormat="1" ht="10.5">
      <c r="A1394" s="75"/>
      <c r="J1394" s="92"/>
      <c r="K1394" s="92"/>
      <c r="L1394" s="92"/>
      <c r="M1394" s="92"/>
      <c r="N1394" s="92"/>
      <c r="O1394" s="92"/>
      <c r="P1394" s="92"/>
      <c r="Q1394" s="92"/>
    </row>
    <row r="1395" spans="1:17" s="69" customFormat="1" ht="10.5">
      <c r="A1395" s="75"/>
      <c r="J1395" s="92"/>
      <c r="K1395" s="92"/>
      <c r="L1395" s="92"/>
      <c r="M1395" s="92"/>
      <c r="N1395" s="92"/>
      <c r="O1395" s="92"/>
      <c r="P1395" s="92"/>
      <c r="Q1395" s="92"/>
    </row>
    <row r="1396" spans="1:17" s="69" customFormat="1" ht="10.5">
      <c r="A1396" s="75"/>
      <c r="J1396" s="92"/>
      <c r="K1396" s="92"/>
      <c r="L1396" s="92"/>
      <c r="M1396" s="92"/>
      <c r="N1396" s="92"/>
      <c r="O1396" s="92"/>
      <c r="P1396" s="92"/>
      <c r="Q1396" s="92"/>
    </row>
    <row r="1397" spans="1:17" s="69" customFormat="1" ht="10.5">
      <c r="A1397" s="75"/>
      <c r="J1397" s="92"/>
      <c r="K1397" s="92"/>
      <c r="L1397" s="92"/>
      <c r="M1397" s="92"/>
      <c r="N1397" s="92"/>
      <c r="O1397" s="92"/>
      <c r="P1397" s="92"/>
      <c r="Q1397" s="92"/>
    </row>
    <row r="1398" spans="1:17" s="69" customFormat="1" ht="10.5">
      <c r="A1398" s="75"/>
      <c r="J1398" s="92"/>
      <c r="K1398" s="92"/>
      <c r="L1398" s="92"/>
      <c r="M1398" s="92"/>
      <c r="N1398" s="92"/>
      <c r="O1398" s="92"/>
      <c r="P1398" s="92"/>
      <c r="Q1398" s="92"/>
    </row>
    <row r="1399" spans="1:17" s="69" customFormat="1" ht="10.5">
      <c r="A1399" s="75"/>
      <c r="J1399" s="92"/>
      <c r="K1399" s="92"/>
      <c r="L1399" s="92"/>
      <c r="M1399" s="92"/>
      <c r="N1399" s="92"/>
      <c r="O1399" s="92"/>
      <c r="P1399" s="92"/>
      <c r="Q1399" s="92"/>
    </row>
    <row r="1400" spans="1:17" s="69" customFormat="1" ht="10.5">
      <c r="A1400" s="75"/>
      <c r="J1400" s="92"/>
      <c r="K1400" s="92"/>
      <c r="L1400" s="92"/>
      <c r="M1400" s="92"/>
      <c r="N1400" s="92"/>
      <c r="O1400" s="92"/>
      <c r="P1400" s="92"/>
      <c r="Q1400" s="92"/>
    </row>
    <row r="1401" spans="1:17" s="69" customFormat="1" ht="10.5">
      <c r="A1401" s="75"/>
      <c r="J1401" s="92"/>
      <c r="K1401" s="92"/>
      <c r="L1401" s="92"/>
      <c r="M1401" s="92"/>
      <c r="N1401" s="92"/>
      <c r="O1401" s="92"/>
      <c r="P1401" s="92"/>
      <c r="Q1401" s="92"/>
    </row>
    <row r="1402" spans="1:17" s="69" customFormat="1" ht="10.5">
      <c r="A1402" s="75"/>
      <c r="J1402" s="92"/>
      <c r="K1402" s="92"/>
      <c r="L1402" s="92"/>
      <c r="M1402" s="92"/>
      <c r="N1402" s="92"/>
      <c r="O1402" s="92"/>
      <c r="P1402" s="92"/>
      <c r="Q1402" s="92"/>
    </row>
    <row r="1403" spans="1:17" s="69" customFormat="1" ht="10.5">
      <c r="A1403" s="75"/>
      <c r="J1403" s="92"/>
      <c r="K1403" s="92"/>
      <c r="L1403" s="92"/>
      <c r="M1403" s="92"/>
      <c r="N1403" s="92"/>
      <c r="O1403" s="92"/>
      <c r="P1403" s="92"/>
      <c r="Q1403" s="92"/>
    </row>
    <row r="1404" spans="1:17" s="69" customFormat="1" ht="10.5">
      <c r="A1404" s="75"/>
      <c r="J1404" s="92"/>
      <c r="K1404" s="92"/>
      <c r="L1404" s="92"/>
      <c r="M1404" s="92"/>
      <c r="N1404" s="92"/>
      <c r="O1404" s="92"/>
      <c r="P1404" s="92"/>
      <c r="Q1404" s="92"/>
    </row>
    <row r="1405" spans="1:17" s="69" customFormat="1" ht="10.5">
      <c r="A1405" s="75"/>
      <c r="J1405" s="92"/>
      <c r="K1405" s="92"/>
      <c r="L1405" s="92"/>
      <c r="M1405" s="92"/>
      <c r="N1405" s="92"/>
      <c r="O1405" s="92"/>
      <c r="P1405" s="92"/>
      <c r="Q1405" s="92"/>
    </row>
    <row r="1406" spans="1:17" s="69" customFormat="1" ht="10.5">
      <c r="A1406" s="75"/>
      <c r="J1406" s="92"/>
      <c r="K1406" s="92"/>
      <c r="L1406" s="92"/>
      <c r="M1406" s="92"/>
      <c r="N1406" s="92"/>
      <c r="O1406" s="92"/>
      <c r="P1406" s="92"/>
      <c r="Q1406" s="92"/>
    </row>
  </sheetData>
  <sheetProtection/>
  <printOptions gridLines="1"/>
  <pageMargins left="0.7499999999999608" right="0.39566929133858264" top="1" bottom="1" header="0.5" footer="0.5"/>
  <pageSetup orientation="landscape" paperSize="9" r:id="rId1"/>
  <headerFooter alignWithMargins="0">
    <oddHeader>&amp;CValoración empresa. completo</oddHeader>
    <oddFooter>&amp;L&amp;D&amp;CPágina &amp;P&amp;RPablo Fernández. IESE</oddFooter>
  </headerFooter>
  <rowBreaks count="11" manualBreakCount="11">
    <brk id="44" max="65535" man="1"/>
    <brk id="84" max="65535" man="1"/>
    <brk id="126" max="65535" man="1"/>
    <brk id="190" max="65535" man="1"/>
    <brk id="222" max="65535" man="1"/>
    <brk id="291" max="65535" man="1"/>
    <brk id="362" max="65535" man="1"/>
    <brk id="440" max="65535" man="1"/>
    <brk id="511" max="65535" man="1"/>
    <brk id="544" max="65535" man="1"/>
    <brk id="58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Pablo Fernandez</cp:lastModifiedBy>
  <dcterms:created xsi:type="dcterms:W3CDTF">2002-02-09T09:48:41Z</dcterms:created>
  <dcterms:modified xsi:type="dcterms:W3CDTF">2019-05-24T19:00:26Z</dcterms:modified>
  <cp:category/>
  <cp:version/>
  <cp:contentType/>
  <cp:contentStatus/>
</cp:coreProperties>
</file>