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9975" activeTab="1"/>
  </bookViews>
  <sheets>
    <sheet name="Tables1-2" sheetId="1" r:id="rId1"/>
    <sheet name="Tables3-4" sheetId="2" r:id="rId2"/>
  </sheets>
  <definedNames>
    <definedName name="OLE_LINK1" localSheetId="0">'Tables1-2'!$B$1</definedName>
  </definedNames>
  <calcPr fullCalcOnLoad="1"/>
</workbook>
</file>

<file path=xl/sharedStrings.xml><?xml version="1.0" encoding="utf-8"?>
<sst xmlns="http://schemas.openxmlformats.org/spreadsheetml/2006/main" count="100" uniqueCount="73">
  <si>
    <t>Table 1. EVA, EP and MVA of a company without debt. ($ million)</t>
  </si>
  <si>
    <t>IRR of investment = Required return to equity (Ke) = 10%</t>
  </si>
  <si>
    <t>Balance Sheet</t>
  </si>
  <si>
    <t>WCR (Working Capital Requirements)</t>
  </si>
  <si>
    <t>Gross Fixed Assets</t>
  </si>
  <si>
    <t xml:space="preserve"> - cumulative depreciation</t>
  </si>
  <si>
    <t>NET ASSETS</t>
  </si>
  <si>
    <t>Debt</t>
  </si>
  <si>
    <t>Equity (book value)</t>
  </si>
  <si>
    <t>NET WORTH &amp; LIABILITIES</t>
  </si>
  <si>
    <t>Income Statement</t>
  </si>
  <si>
    <t>Sales</t>
  </si>
  <si>
    <t>Cost of sales</t>
  </si>
  <si>
    <t>General &amp; administrative expenses</t>
  </si>
  <si>
    <t>Depreciation</t>
  </si>
  <si>
    <t>Interest</t>
  </si>
  <si>
    <t>Taxes</t>
  </si>
  <si>
    <t>PAT</t>
  </si>
  <si>
    <t xml:space="preserve"> + Depreciation</t>
  </si>
  <si>
    <t>ECF = Dividends = FCF</t>
  </si>
  <si>
    <t>ROE = ROA</t>
  </si>
  <si>
    <t>ROGI</t>
  </si>
  <si>
    <t>Ke = WACC</t>
  </si>
  <si>
    <t>MVA = E - Ebv</t>
  </si>
  <si>
    <t xml:space="preserve">Table 2. Cash value added of a company without debt. </t>
  </si>
  <si>
    <t>NOPAT</t>
  </si>
  <si>
    <t xml:space="preserve"> - Cost of capital employed</t>
  </si>
  <si>
    <t>CVA</t>
  </si>
  <si>
    <t>Table 3. EVA, EP and MVA ($ million)</t>
  </si>
  <si>
    <t>Company with constant debt level ($4,000 million) . IRR of investment = 10%.</t>
  </si>
  <si>
    <t xml:space="preserve"> - ∆ WCR</t>
  </si>
  <si>
    <t xml:space="preserve"> - Investment in fixed assets</t>
  </si>
  <si>
    <t>ECF = Dividends</t>
  </si>
  <si>
    <t>FCF</t>
  </si>
  <si>
    <t>ROE</t>
  </si>
  <si>
    <t>ROA</t>
  </si>
  <si>
    <t>Ke</t>
  </si>
  <si>
    <t>WACC</t>
  </si>
  <si>
    <t>EP = PAT - Ke x Ebv</t>
  </si>
  <si>
    <t>MVA = PV(Ke; EP)</t>
  </si>
  <si>
    <t>EVA</t>
  </si>
  <si>
    <t>MVA = PV(WACC; EVA)</t>
  </si>
  <si>
    <t xml:space="preserve"> - Economic depreciation</t>
  </si>
  <si>
    <t>PV(WACC; CVA)</t>
  </si>
  <si>
    <t>WCR (Working Capital requirements)</t>
  </si>
  <si>
    <t xml:space="preserve"> - cummulative depreciation</t>
  </si>
  <si>
    <t>Profit and Loss Statement</t>
  </si>
  <si>
    <t>E = PV(Ke;ECF)</t>
  </si>
  <si>
    <t>EP = EVA</t>
  </si>
  <si>
    <t>MVA = PV(Ke ; EP) = PV(WACC ; EVA)</t>
  </si>
  <si>
    <r>
      <t xml:space="preserve"> - </t>
    </r>
    <r>
      <rPr>
        <sz val="10"/>
        <rFont val="Symbol"/>
        <family val="1"/>
      </rPr>
      <t>D</t>
    </r>
    <r>
      <rPr>
        <sz val="10"/>
        <rFont val="Arial Narrow"/>
        <family val="2"/>
      </rPr>
      <t xml:space="preserve"> WCR</t>
    </r>
  </si>
  <si>
    <t>Cash Value Added</t>
  </si>
  <si>
    <t xml:space="preserve"> - Economic Depreciation</t>
  </si>
  <si>
    <t>1 x 2.  Cost of capital employed</t>
  </si>
  <si>
    <t>Initial investment. (Do + Eo)bv</t>
  </si>
  <si>
    <t>Beta U</t>
  </si>
  <si>
    <t>Rf</t>
  </si>
  <si>
    <t>Ku</t>
  </si>
  <si>
    <t>Kd</t>
  </si>
  <si>
    <t>Beta d</t>
  </si>
  <si>
    <t>Beta E</t>
  </si>
  <si>
    <t>(1+Ke)(1+Ke)…</t>
  </si>
  <si>
    <t>PV ECF at Ke</t>
  </si>
  <si>
    <t>(1+wacc)(1+wacc)…</t>
  </si>
  <si>
    <t>PV FCF at WACC</t>
  </si>
  <si>
    <t>D + E =PV(WACC;FCF)</t>
  </si>
  <si>
    <t xml:space="preserve"> - D = E </t>
  </si>
  <si>
    <t>PV EP at Ke</t>
  </si>
  <si>
    <t>PV EVA at WACC</t>
  </si>
  <si>
    <t>PV CVA at WACC</t>
  </si>
  <si>
    <r>
      <t>Table 4.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Cash value added. Firm with constant debt (4 billion) . IRR of the investment = 10%.</t>
    </r>
  </si>
  <si>
    <r>
      <t xml:space="preserve"> + </t>
    </r>
    <r>
      <rPr>
        <sz val="10"/>
        <rFont val="Symbol"/>
        <family val="1"/>
      </rPr>
      <t>D</t>
    </r>
    <r>
      <rPr>
        <sz val="10"/>
        <rFont val="Tms Rmn"/>
        <family val="0"/>
      </rPr>
      <t xml:space="preserve"> Debt</t>
    </r>
  </si>
  <si>
    <t>MRP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</si>
</sst>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0.00000"/>
    <numFmt numFmtId="174" formatCode="#,##0.000"/>
    <numFmt numFmtId="175" formatCode="#,##0.0"/>
    <numFmt numFmtId="176" formatCode="#,##0.00&quot;Pts&quot;;[Red]\-#,##0.00&quot;Pts&quot;"/>
    <numFmt numFmtId="177" formatCode="0.000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ms Rmn"/>
      <family val="0"/>
    </font>
    <font>
      <b/>
      <u val="single"/>
      <sz val="10"/>
      <name val="Tms Rmn"/>
      <family val="0"/>
    </font>
    <font>
      <b/>
      <sz val="9"/>
      <name val="Tms Rmn"/>
      <family val="0"/>
    </font>
    <font>
      <sz val="10"/>
      <name val="Geneva"/>
      <family val="0"/>
    </font>
    <font>
      <i/>
      <sz val="9"/>
      <name val="Tms Rmn"/>
      <family val="0"/>
    </font>
    <font>
      <b/>
      <u val="single"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Symbol"/>
      <family val="1"/>
    </font>
    <font>
      <i/>
      <sz val="10"/>
      <name val="Arial Narrow"/>
      <family val="2"/>
    </font>
    <font>
      <sz val="12"/>
      <name val="Tms Rmn"/>
      <family val="0"/>
    </font>
    <font>
      <b/>
      <sz val="10"/>
      <name val="Tms Rmn"/>
      <family val="0"/>
    </font>
    <font>
      <sz val="10"/>
      <name val="Tms Rmn"/>
      <family val="0"/>
    </font>
    <font>
      <b/>
      <i/>
      <u val="single"/>
      <sz val="10"/>
      <name val="Arial Narrow"/>
      <family val="2"/>
    </font>
    <font>
      <sz val="8"/>
      <name val="Tms Rmn"/>
      <family val="0"/>
    </font>
    <font>
      <b/>
      <sz val="8"/>
      <name val="Tms Rmn"/>
      <family val="0"/>
    </font>
    <font>
      <b/>
      <i/>
      <u val="single"/>
      <sz val="9"/>
      <name val="Tms Rmn"/>
      <family val="0"/>
    </font>
    <font>
      <b/>
      <i/>
      <sz val="10"/>
      <name val="Tms Rmn"/>
      <family val="0"/>
    </font>
    <font>
      <i/>
      <sz val="10"/>
      <name val="Tms Rmn"/>
      <family val="0"/>
    </font>
    <font>
      <i/>
      <sz val="8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57">
    <xf numFmtId="0" fontId="0" fillId="0" borderId="0" xfId="0" applyFont="1" applyAlignment="1">
      <alignment/>
    </xf>
    <xf numFmtId="0" fontId="6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4" fontId="6" fillId="0" borderId="11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4" fontId="6" fillId="0" borderId="12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5" fontId="6" fillId="0" borderId="0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0" fontId="66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67" fillId="0" borderId="0" xfId="0" applyFont="1" applyAlignment="1">
      <alignment/>
    </xf>
    <xf numFmtId="0" fontId="10" fillId="0" borderId="0" xfId="0" applyFont="1" applyAlignment="1">
      <alignment/>
    </xf>
    <xf numFmtId="174" fontId="67" fillId="0" borderId="0" xfId="0" applyNumberFormat="1" applyFont="1" applyAlignment="1">
      <alignment/>
    </xf>
    <xf numFmtId="175" fontId="10" fillId="0" borderId="0" xfId="0" applyNumberFormat="1" applyFont="1" applyAlignment="1">
      <alignment horizontal="center"/>
    </xf>
    <xf numFmtId="175" fontId="11" fillId="0" borderId="0" xfId="0" applyNumberFormat="1" applyFont="1" applyBorder="1" applyAlignment="1">
      <alignment/>
    </xf>
    <xf numFmtId="175" fontId="10" fillId="0" borderId="0" xfId="0" applyNumberFormat="1" applyFont="1" applyBorder="1" applyAlignment="1">
      <alignment/>
    </xf>
    <xf numFmtId="0" fontId="68" fillId="0" borderId="0" xfId="0" applyFont="1" applyAlignment="1">
      <alignment/>
    </xf>
    <xf numFmtId="0" fontId="12" fillId="0" borderId="0" xfId="0" applyFont="1" applyAlignment="1">
      <alignment horizontal="center"/>
    </xf>
    <xf numFmtId="10" fontId="13" fillId="0" borderId="0" xfId="0" applyNumberFormat="1" applyFont="1" applyAlignment="1">
      <alignment/>
    </xf>
    <xf numFmtId="10" fontId="12" fillId="0" borderId="0" xfId="0" applyNumberFormat="1" applyFont="1" applyAlignment="1">
      <alignment horizontal="left"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10" fontId="14" fillId="0" borderId="13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 horizontal="right"/>
    </xf>
    <xf numFmtId="1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10" fontId="13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14" fillId="0" borderId="13" xfId="0" applyFont="1" applyBorder="1" applyAlignment="1">
      <alignment/>
    </xf>
    <xf numFmtId="3" fontId="14" fillId="0" borderId="13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4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10" fontId="12" fillId="0" borderId="0" xfId="55" applyNumberFormat="1" applyFont="1" applyBorder="1" applyAlignment="1">
      <alignment/>
    </xf>
    <xf numFmtId="0" fontId="14" fillId="0" borderId="0" xfId="0" applyFont="1" applyAlignment="1">
      <alignment/>
    </xf>
    <xf numFmtId="10" fontId="14" fillId="0" borderId="0" xfId="55" applyNumberFormat="1" applyFont="1" applyAlignment="1">
      <alignment/>
    </xf>
    <xf numFmtId="0" fontId="14" fillId="0" borderId="13" xfId="0" applyFont="1" applyBorder="1" applyAlignment="1">
      <alignment horizontal="left"/>
    </xf>
    <xf numFmtId="0" fontId="16" fillId="0" borderId="0" xfId="0" applyFont="1" applyAlignment="1">
      <alignment/>
    </xf>
    <xf numFmtId="9" fontId="16" fillId="0" borderId="0" xfId="0" applyNumberFormat="1" applyFont="1" applyAlignment="1">
      <alignment/>
    </xf>
    <xf numFmtId="0" fontId="14" fillId="0" borderId="10" xfId="0" applyFont="1" applyBorder="1" applyAlignment="1">
      <alignment/>
    </xf>
    <xf numFmtId="4" fontId="14" fillId="0" borderId="14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3" fontId="12" fillId="0" borderId="0" xfId="0" applyNumberFormat="1" applyFont="1" applyAlignment="1">
      <alignment horizontal="center"/>
    </xf>
    <xf numFmtId="175" fontId="14" fillId="0" borderId="15" xfId="0" applyNumberFormat="1" applyFont="1" applyBorder="1" applyAlignment="1">
      <alignment/>
    </xf>
    <xf numFmtId="175" fontId="14" fillId="0" borderId="16" xfId="0" applyNumberFormat="1" applyFont="1" applyBorder="1" applyAlignment="1">
      <alignment/>
    </xf>
    <xf numFmtId="175" fontId="14" fillId="0" borderId="17" xfId="0" applyNumberFormat="1" applyFont="1" applyBorder="1" applyAlignment="1">
      <alignment/>
    </xf>
    <xf numFmtId="175" fontId="14" fillId="0" borderId="18" xfId="0" applyNumberFormat="1" applyFont="1" applyBorder="1" applyAlignment="1">
      <alignment horizontal="left"/>
    </xf>
    <xf numFmtId="3" fontId="14" fillId="0" borderId="12" xfId="0" applyNumberFormat="1" applyFont="1" applyBorder="1" applyAlignment="1">
      <alignment/>
    </xf>
    <xf numFmtId="4" fontId="14" fillId="0" borderId="12" xfId="0" applyNumberFormat="1" applyFont="1" applyBorder="1" applyAlignment="1">
      <alignment/>
    </xf>
    <xf numFmtId="4" fontId="14" fillId="0" borderId="19" xfId="0" applyNumberFormat="1" applyFont="1" applyBorder="1" applyAlignment="1">
      <alignment/>
    </xf>
    <xf numFmtId="3" fontId="4" fillId="0" borderId="0" xfId="52" applyNumberFormat="1" applyFont="1">
      <alignment/>
      <protection/>
    </xf>
    <xf numFmtId="175" fontId="4" fillId="0" borderId="0" xfId="52" applyNumberFormat="1" applyFont="1" applyBorder="1">
      <alignment/>
      <protection/>
    </xf>
    <xf numFmtId="175" fontId="6" fillId="0" borderId="0" xfId="52" applyNumberFormat="1" applyFont="1" applyBorder="1">
      <alignment/>
      <protection/>
    </xf>
    <xf numFmtId="175" fontId="4" fillId="0" borderId="0" xfId="52" applyNumberFormat="1" applyFont="1" applyAlignment="1">
      <alignment horizontal="center"/>
      <protection/>
    </xf>
    <xf numFmtId="175" fontId="17" fillId="0" borderId="0" xfId="52" applyNumberFormat="1" applyFont="1" applyAlignment="1">
      <alignment horizontal="center"/>
      <protection/>
    </xf>
    <xf numFmtId="0" fontId="17" fillId="0" borderId="0" xfId="52" applyFont="1">
      <alignment/>
      <protection/>
    </xf>
    <xf numFmtId="3" fontId="17" fillId="0" borderId="0" xfId="52" applyNumberFormat="1" applyFont="1" applyAlignment="1">
      <alignment horizontal="center"/>
      <protection/>
    </xf>
    <xf numFmtId="0" fontId="17" fillId="0" borderId="0" xfId="52" applyFont="1" applyAlignment="1">
      <alignment horizontal="center"/>
      <protection/>
    </xf>
    <xf numFmtId="175" fontId="20" fillId="0" borderId="0" xfId="52" applyNumberFormat="1" applyFont="1" applyBorder="1">
      <alignment/>
      <protection/>
    </xf>
    <xf numFmtId="0" fontId="9" fillId="0" borderId="0" xfId="52" applyFont="1" applyAlignment="1">
      <alignment horizontal="right"/>
      <protection/>
    </xf>
    <xf numFmtId="175" fontId="14" fillId="0" borderId="0" xfId="52" applyNumberFormat="1" applyFont="1" applyBorder="1">
      <alignment/>
      <protection/>
    </xf>
    <xf numFmtId="3" fontId="12" fillId="0" borderId="0" xfId="52" applyNumberFormat="1" applyFont="1">
      <alignment/>
      <protection/>
    </xf>
    <xf numFmtId="0" fontId="12" fillId="0" borderId="0" xfId="52" applyFont="1">
      <alignment/>
      <protection/>
    </xf>
    <xf numFmtId="175" fontId="12" fillId="0" borderId="0" xfId="52" applyNumberFormat="1" applyFont="1" applyBorder="1">
      <alignment/>
      <protection/>
    </xf>
    <xf numFmtId="0" fontId="14" fillId="0" borderId="12" xfId="52" applyFont="1" applyBorder="1">
      <alignment/>
      <protection/>
    </xf>
    <xf numFmtId="175" fontId="14" fillId="0" borderId="12" xfId="52" applyNumberFormat="1" applyFont="1" applyBorder="1">
      <alignment/>
      <protection/>
    </xf>
    <xf numFmtId="10" fontId="21" fillId="0" borderId="0" xfId="54" applyNumberFormat="1" applyFont="1" applyAlignment="1">
      <alignment/>
    </xf>
    <xf numFmtId="0" fontId="69" fillId="0" borderId="0" xfId="0" applyFont="1" applyAlignment="1">
      <alignment/>
    </xf>
    <xf numFmtId="10" fontId="4" fillId="0" borderId="0" xfId="54" applyNumberFormat="1" applyFont="1" applyAlignment="1">
      <alignment/>
    </xf>
    <xf numFmtId="175" fontId="6" fillId="0" borderId="12" xfId="52" applyNumberFormat="1" applyFont="1" applyBorder="1">
      <alignment/>
      <protection/>
    </xf>
    <xf numFmtId="3" fontId="4" fillId="0" borderId="12" xfId="52" applyNumberFormat="1" applyFont="1" applyBorder="1">
      <alignment/>
      <protection/>
    </xf>
    <xf numFmtId="3" fontId="14" fillId="0" borderId="12" xfId="52" applyNumberFormat="1" applyFont="1" applyBorder="1">
      <alignment/>
      <protection/>
    </xf>
    <xf numFmtId="175" fontId="4" fillId="0" borderId="12" xfId="52" applyNumberFormat="1" applyFont="1" applyBorder="1">
      <alignment/>
      <protection/>
    </xf>
    <xf numFmtId="4" fontId="4" fillId="0" borderId="0" xfId="0" applyNumberFormat="1" applyFont="1" applyAlignment="1">
      <alignment/>
    </xf>
    <xf numFmtId="175" fontId="23" fillId="0" borderId="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175" fontId="6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5" fontId="4" fillId="0" borderId="12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70" fillId="0" borderId="0" xfId="0" applyFont="1" applyAlignment="1">
      <alignment/>
    </xf>
    <xf numFmtId="10" fontId="19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0" fontId="18" fillId="0" borderId="13" xfId="0" applyNumberFormat="1" applyFont="1" applyBorder="1" applyAlignment="1">
      <alignment horizontal="left"/>
    </xf>
    <xf numFmtId="3" fontId="18" fillId="0" borderId="13" xfId="0" applyNumberFormat="1" applyFont="1" applyBorder="1" applyAlignment="1">
      <alignment horizontal="right"/>
    </xf>
    <xf numFmtId="10" fontId="24" fillId="0" borderId="0" xfId="0" applyNumberFormat="1" applyFont="1" applyAlignment="1">
      <alignment horizontal="left"/>
    </xf>
    <xf numFmtId="0" fontId="24" fillId="0" borderId="0" xfId="0" applyFont="1" applyAlignment="1">
      <alignment horizontal="right"/>
    </xf>
    <xf numFmtId="10" fontId="24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8" fillId="0" borderId="13" xfId="0" applyFont="1" applyBorder="1" applyAlignment="1">
      <alignment/>
    </xf>
    <xf numFmtId="4" fontId="18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4" fontId="18" fillId="0" borderId="0" xfId="0" applyNumberFormat="1" applyFont="1" applyBorder="1" applyAlignment="1">
      <alignment/>
    </xf>
    <xf numFmtId="4" fontId="19" fillId="0" borderId="20" xfId="0" applyNumberFormat="1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0" fontId="19" fillId="0" borderId="0" xfId="54" applyNumberFormat="1" applyFont="1" applyBorder="1" applyAlignment="1">
      <alignment/>
    </xf>
    <xf numFmtId="10" fontId="18" fillId="0" borderId="0" xfId="54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10" fontId="25" fillId="0" borderId="0" xfId="54" applyNumberFormat="1" applyFont="1" applyAlignment="1">
      <alignment horizontal="right"/>
    </xf>
    <xf numFmtId="2" fontId="25" fillId="0" borderId="0" xfId="54" applyNumberFormat="1" applyFont="1" applyAlignment="1">
      <alignment horizontal="right"/>
    </xf>
    <xf numFmtId="175" fontId="25" fillId="0" borderId="0" xfId="54" applyNumberFormat="1" applyFont="1" applyAlignment="1">
      <alignment horizontal="right"/>
    </xf>
    <xf numFmtId="0" fontId="18" fillId="0" borderId="10" xfId="0" applyFont="1" applyBorder="1" applyAlignment="1">
      <alignment horizontal="left"/>
    </xf>
    <xf numFmtId="4" fontId="18" fillId="0" borderId="14" xfId="0" applyNumberFormat="1" applyFont="1" applyBorder="1" applyAlignment="1">
      <alignment/>
    </xf>
    <xf numFmtId="4" fontId="18" fillId="0" borderId="11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10" fontId="18" fillId="0" borderId="0" xfId="54" applyNumberFormat="1" applyFont="1" applyAlignment="1">
      <alignment/>
    </xf>
    <xf numFmtId="9" fontId="25" fillId="0" borderId="0" xfId="0" applyNumberFormat="1" applyFont="1" applyAlignment="1">
      <alignment/>
    </xf>
    <xf numFmtId="0" fontId="18" fillId="0" borderId="10" xfId="0" applyFont="1" applyBorder="1" applyAlignment="1">
      <alignment/>
    </xf>
    <xf numFmtId="3" fontId="19" fillId="0" borderId="0" xfId="0" applyNumberFormat="1" applyFont="1" applyAlignment="1">
      <alignment horizontal="center"/>
    </xf>
    <xf numFmtId="175" fontId="18" fillId="0" borderId="15" xfId="0" applyNumberFormat="1" applyFont="1" applyBorder="1" applyAlignment="1">
      <alignment/>
    </xf>
    <xf numFmtId="175" fontId="18" fillId="0" borderId="16" xfId="0" applyNumberFormat="1" applyFont="1" applyBorder="1" applyAlignment="1">
      <alignment/>
    </xf>
    <xf numFmtId="4" fontId="18" fillId="0" borderId="16" xfId="0" applyNumberFormat="1" applyFont="1" applyBorder="1" applyAlignment="1">
      <alignment/>
    </xf>
    <xf numFmtId="4" fontId="18" fillId="0" borderId="17" xfId="0" applyNumberFormat="1" applyFont="1" applyBorder="1" applyAlignment="1">
      <alignment/>
    </xf>
    <xf numFmtId="3" fontId="25" fillId="0" borderId="0" xfId="0" applyNumberFormat="1" applyFont="1" applyAlignment="1">
      <alignment horizontal="center"/>
    </xf>
    <xf numFmtId="0" fontId="25" fillId="0" borderId="21" xfId="0" applyFont="1" applyBorder="1" applyAlignment="1">
      <alignment/>
    </xf>
    <xf numFmtId="175" fontId="25" fillId="0" borderId="0" xfId="0" applyNumberFormat="1" applyFont="1" applyBorder="1" applyAlignment="1">
      <alignment/>
    </xf>
    <xf numFmtId="4" fontId="25" fillId="0" borderId="0" xfId="0" applyNumberFormat="1" applyFont="1" applyBorder="1" applyAlignment="1">
      <alignment/>
    </xf>
    <xf numFmtId="4" fontId="25" fillId="0" borderId="22" xfId="0" applyNumberFormat="1" applyFont="1" applyBorder="1" applyAlignment="1">
      <alignment/>
    </xf>
    <xf numFmtId="175" fontId="18" fillId="0" borderId="18" xfId="0" applyNumberFormat="1" applyFont="1" applyBorder="1" applyAlignment="1">
      <alignment horizontal="left"/>
    </xf>
    <xf numFmtId="4" fontId="18" fillId="0" borderId="12" xfId="0" applyNumberFormat="1" applyFont="1" applyBorder="1" applyAlignment="1">
      <alignment/>
    </xf>
    <xf numFmtId="4" fontId="18" fillId="0" borderId="19" xfId="0" applyNumberFormat="1" applyFont="1" applyBorder="1" applyAlignment="1">
      <alignment/>
    </xf>
    <xf numFmtId="175" fontId="19" fillId="0" borderId="0" xfId="0" applyNumberFormat="1" applyFont="1" applyAlignment="1">
      <alignment horizontal="center"/>
    </xf>
    <xf numFmtId="175" fontId="18" fillId="0" borderId="0" xfId="0" applyNumberFormat="1" applyFont="1" applyBorder="1" applyAlignment="1">
      <alignment/>
    </xf>
    <xf numFmtId="175" fontId="19" fillId="0" borderId="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2" fontId="21" fillId="0" borderId="0" xfId="0" applyNumberFormat="1" applyFont="1" applyAlignment="1">
      <alignment/>
    </xf>
    <xf numFmtId="0" fontId="71" fillId="0" borderId="0" xfId="0" applyFont="1" applyAlignment="1">
      <alignment/>
    </xf>
    <xf numFmtId="10" fontId="21" fillId="0" borderId="0" xfId="0" applyNumberFormat="1" applyFont="1" applyAlignment="1">
      <alignment/>
    </xf>
    <xf numFmtId="0" fontId="22" fillId="0" borderId="0" xfId="0" applyFont="1" applyAlignment="1">
      <alignment/>
    </xf>
    <xf numFmtId="10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172" fontId="21" fillId="0" borderId="0" xfId="0" applyNumberFormat="1" applyFont="1" applyAlignment="1">
      <alignment/>
    </xf>
    <xf numFmtId="177" fontId="21" fillId="0" borderId="0" xfId="0" applyNumberFormat="1" applyFont="1" applyAlignment="1">
      <alignment/>
    </xf>
    <xf numFmtId="0" fontId="26" fillId="0" borderId="0" xfId="0" applyFont="1" applyAlignment="1">
      <alignment/>
    </xf>
    <xf numFmtId="10" fontId="26" fillId="0" borderId="0" xfId="54" applyNumberFormat="1" applyFont="1" applyAlignment="1">
      <alignment horizontal="right"/>
    </xf>
    <xf numFmtId="2" fontId="26" fillId="0" borderId="0" xfId="54" applyNumberFormat="1" applyFont="1" applyAlignment="1">
      <alignment horizontal="right"/>
    </xf>
    <xf numFmtId="175" fontId="26" fillId="0" borderId="0" xfId="54" applyNumberFormat="1" applyFont="1" applyAlignment="1">
      <alignment horizontal="right"/>
    </xf>
    <xf numFmtId="0" fontId="21" fillId="0" borderId="0" xfId="0" applyFont="1" applyBorder="1" applyAlignment="1">
      <alignment/>
    </xf>
    <xf numFmtId="3" fontId="21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 2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">
      <pane ySplit="5880" topLeftCell="A33" activePane="bottomLeft" state="split"/>
      <selection pane="topLeft" activeCell="A1" sqref="A1"/>
      <selection pane="bottomLeft" activeCell="N26" sqref="N26"/>
    </sheetView>
  </sheetViews>
  <sheetFormatPr defaultColWidth="9.140625" defaultRowHeight="15"/>
  <cols>
    <col min="1" max="1" width="6.28125" style="16" customWidth="1"/>
    <col min="2" max="2" width="32.8515625" style="16" customWidth="1"/>
    <col min="3" max="8" width="6.28125" style="16" customWidth="1"/>
    <col min="9" max="16384" width="9.140625" style="16" customWidth="1"/>
  </cols>
  <sheetData>
    <row r="1" spans="1:8" ht="10.5" customHeight="1">
      <c r="A1" s="22"/>
      <c r="B1" s="14" t="s">
        <v>0</v>
      </c>
      <c r="C1" s="22"/>
      <c r="D1" s="22"/>
      <c r="E1" s="22"/>
      <c r="F1" s="22"/>
      <c r="G1" s="22"/>
      <c r="H1" s="22"/>
    </row>
    <row r="2" spans="1:8" ht="10.5" customHeight="1">
      <c r="A2" s="22"/>
      <c r="B2" s="14" t="s">
        <v>1</v>
      </c>
      <c r="C2" s="22"/>
      <c r="D2" s="22"/>
      <c r="E2" s="22"/>
      <c r="F2" s="22"/>
      <c r="G2" s="22"/>
      <c r="H2" s="22"/>
    </row>
    <row r="3" spans="1:8" ht="10.5" customHeight="1">
      <c r="A3" s="22"/>
      <c r="B3" s="22"/>
      <c r="C3" s="22"/>
      <c r="D3" s="22"/>
      <c r="E3" s="22"/>
      <c r="F3" s="22"/>
      <c r="G3" s="22"/>
      <c r="H3" s="22"/>
    </row>
    <row r="4" spans="1:18" s="17" customFormat="1" ht="11.25" customHeight="1">
      <c r="A4" s="23"/>
      <c r="B4" s="24" t="s">
        <v>2</v>
      </c>
      <c r="C4" s="15">
        <v>0</v>
      </c>
      <c r="D4" s="15">
        <v>1</v>
      </c>
      <c r="E4" s="15">
        <f>D4+1</f>
        <v>2</v>
      </c>
      <c r="F4" s="15">
        <f>E4+1</f>
        <v>3</v>
      </c>
      <c r="G4" s="15">
        <f>F4+1</f>
        <v>4</v>
      </c>
      <c r="H4" s="15">
        <f>G4+1</f>
        <v>5</v>
      </c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7" customFormat="1" ht="11.25" customHeight="1">
      <c r="A5" s="23">
        <v>1</v>
      </c>
      <c r="B5" s="25" t="s">
        <v>44</v>
      </c>
      <c r="C5" s="26">
        <v>2000</v>
      </c>
      <c r="D5" s="26">
        <v>2000</v>
      </c>
      <c r="E5" s="26">
        <v>2000</v>
      </c>
      <c r="F5" s="26">
        <v>2000</v>
      </c>
      <c r="G5" s="26">
        <v>2000</v>
      </c>
      <c r="H5" s="26">
        <v>0</v>
      </c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s="17" customFormat="1" ht="11.25" customHeight="1">
      <c r="A6" s="23">
        <v>2</v>
      </c>
      <c r="B6" s="25" t="s">
        <v>4</v>
      </c>
      <c r="C6" s="26">
        <v>10000</v>
      </c>
      <c r="D6" s="27">
        <f>C6</f>
        <v>10000</v>
      </c>
      <c r="E6" s="27">
        <f>D6</f>
        <v>10000</v>
      </c>
      <c r="F6" s="27">
        <f>E6</f>
        <v>10000</v>
      </c>
      <c r="G6" s="27">
        <f>F6</f>
        <v>10000</v>
      </c>
      <c r="H6" s="27">
        <f>G6</f>
        <v>10000</v>
      </c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s="17" customFormat="1" ht="11.25" customHeight="1">
      <c r="A7" s="23">
        <v>3</v>
      </c>
      <c r="B7" s="25" t="s">
        <v>45</v>
      </c>
      <c r="C7" s="28">
        <v>0</v>
      </c>
      <c r="D7" s="27">
        <f>C7+D17</f>
        <v>2000</v>
      </c>
      <c r="E7" s="27">
        <f>D7+E17</f>
        <v>4000</v>
      </c>
      <c r="F7" s="27">
        <f>E7+F17</f>
        <v>6000</v>
      </c>
      <c r="G7" s="27">
        <f>F7+G17</f>
        <v>8000</v>
      </c>
      <c r="H7" s="27">
        <f>G7+H17</f>
        <v>10000</v>
      </c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17" customFormat="1" ht="11.25" customHeight="1">
      <c r="A8" s="23">
        <v>4</v>
      </c>
      <c r="B8" s="29" t="s">
        <v>6</v>
      </c>
      <c r="C8" s="30">
        <f aca="true" t="shared" si="0" ref="C8:H8">C5+C6-C7</f>
        <v>12000</v>
      </c>
      <c r="D8" s="30">
        <f t="shared" si="0"/>
        <v>10000</v>
      </c>
      <c r="E8" s="30">
        <f t="shared" si="0"/>
        <v>8000</v>
      </c>
      <c r="F8" s="30">
        <f t="shared" si="0"/>
        <v>6000</v>
      </c>
      <c r="G8" s="30">
        <f t="shared" si="0"/>
        <v>4000</v>
      </c>
      <c r="H8" s="30">
        <f t="shared" si="0"/>
        <v>0</v>
      </c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18" s="17" customFormat="1" ht="11.25" customHeight="1">
      <c r="A9" s="23">
        <v>5</v>
      </c>
      <c r="B9" s="25" t="s">
        <v>7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s="17" customFormat="1" ht="11.25" customHeight="1">
      <c r="A10" s="23">
        <v>6</v>
      </c>
      <c r="B10" s="25" t="s">
        <v>8</v>
      </c>
      <c r="C10" s="26">
        <v>12000</v>
      </c>
      <c r="D10" s="26">
        <f>C10+D20-D23</f>
        <v>10000</v>
      </c>
      <c r="E10" s="26">
        <f>D10+E20-E23</f>
        <v>7999.999999999999</v>
      </c>
      <c r="F10" s="26">
        <f>E10+F20-F23</f>
        <v>5999.999999999999</v>
      </c>
      <c r="G10" s="26">
        <f>F10+G20-G23</f>
        <v>3999.999999999999</v>
      </c>
      <c r="H10" s="26">
        <f>G10+H20-H23</f>
        <v>0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7" customFormat="1" ht="11.25" customHeight="1">
      <c r="A11" s="23">
        <v>7</v>
      </c>
      <c r="B11" s="29" t="s">
        <v>9</v>
      </c>
      <c r="C11" s="30">
        <f aca="true" t="shared" si="1" ref="C11:H11">C9+C10</f>
        <v>12000</v>
      </c>
      <c r="D11" s="30">
        <f t="shared" si="1"/>
        <v>10000</v>
      </c>
      <c r="E11" s="30">
        <f t="shared" si="1"/>
        <v>7999.999999999999</v>
      </c>
      <c r="F11" s="30">
        <f t="shared" si="1"/>
        <v>5999.999999999999</v>
      </c>
      <c r="G11" s="30">
        <f t="shared" si="1"/>
        <v>3999.999999999999</v>
      </c>
      <c r="H11" s="30">
        <f t="shared" si="1"/>
        <v>0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s="17" customFormat="1" ht="11.25" customHeight="1">
      <c r="A12" s="23"/>
      <c r="B12" s="31"/>
      <c r="C12" s="32"/>
      <c r="D12" s="33"/>
      <c r="E12" s="33"/>
      <c r="F12" s="33"/>
      <c r="G12" s="33"/>
      <c r="H12" s="33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s="17" customFormat="1" ht="11.25" customHeight="1">
      <c r="A13" s="23"/>
      <c r="B13" s="24" t="s">
        <v>46</v>
      </c>
      <c r="C13" s="32"/>
      <c r="D13" s="32"/>
      <c r="E13" s="32"/>
      <c r="F13" s="32"/>
      <c r="G13" s="32"/>
      <c r="H13" s="32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s="17" customFormat="1" ht="11.25" customHeight="1">
      <c r="A14" s="23">
        <v>8</v>
      </c>
      <c r="B14" s="25" t="s">
        <v>11</v>
      </c>
      <c r="C14" s="28"/>
      <c r="D14" s="27">
        <v>10000</v>
      </c>
      <c r="E14" s="27">
        <v>10000</v>
      </c>
      <c r="F14" s="27">
        <v>10000</v>
      </c>
      <c r="G14" s="27">
        <v>10000</v>
      </c>
      <c r="H14" s="27">
        <v>10000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s="17" customFormat="1" ht="11.25" customHeight="1">
      <c r="A15" s="23">
        <v>9</v>
      </c>
      <c r="B15" s="25" t="s">
        <v>12</v>
      </c>
      <c r="C15" s="28"/>
      <c r="D15" s="27">
        <v>4000</v>
      </c>
      <c r="E15" s="27">
        <v>4000</v>
      </c>
      <c r="F15" s="27">
        <v>4000</v>
      </c>
      <c r="G15" s="27">
        <v>4000</v>
      </c>
      <c r="H15" s="27">
        <v>4000</v>
      </c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s="17" customFormat="1" ht="11.25" customHeight="1">
      <c r="A16" s="23">
        <f aca="true" t="shared" si="2" ref="A16:A21">A15+1</f>
        <v>10</v>
      </c>
      <c r="B16" s="25" t="s">
        <v>13</v>
      </c>
      <c r="C16" s="28"/>
      <c r="D16" s="26">
        <f>2730.303+0.03621</f>
        <v>2730.33921</v>
      </c>
      <c r="E16" s="26">
        <f>2730.303+0.03621</f>
        <v>2730.33921</v>
      </c>
      <c r="F16" s="26">
        <f>2730.303+0.03621</f>
        <v>2730.33921</v>
      </c>
      <c r="G16" s="26">
        <f>2730.303+0.03621</f>
        <v>2730.33921</v>
      </c>
      <c r="H16" s="26">
        <f>2730.303+0.03621</f>
        <v>2730.33921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7" customFormat="1" ht="11.25" customHeight="1">
      <c r="A17" s="23">
        <f t="shared" si="2"/>
        <v>11</v>
      </c>
      <c r="B17" s="25" t="s">
        <v>14</v>
      </c>
      <c r="C17" s="28"/>
      <c r="D17" s="27">
        <v>2000</v>
      </c>
      <c r="E17" s="27">
        <v>2000</v>
      </c>
      <c r="F17" s="27">
        <v>2000</v>
      </c>
      <c r="G17" s="27">
        <v>2000</v>
      </c>
      <c r="H17" s="27">
        <v>2000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17" customFormat="1" ht="11.25" customHeight="1">
      <c r="A18" s="23">
        <f t="shared" si="2"/>
        <v>12</v>
      </c>
      <c r="B18" s="34" t="s">
        <v>15</v>
      </c>
      <c r="C18" s="34"/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spans="1:18" s="17" customFormat="1" ht="11.25" customHeight="1">
      <c r="A19" s="23">
        <f t="shared" si="2"/>
        <v>13</v>
      </c>
      <c r="B19" s="34" t="s">
        <v>16</v>
      </c>
      <c r="C19" s="34"/>
      <c r="D19" s="35">
        <f>0.34*(D14-D15-D16-D17-D18)</f>
        <v>431.6846686</v>
      </c>
      <c r="E19" s="35">
        <f>0.34*(E14-E15-E16-E17-E18)</f>
        <v>431.6846686</v>
      </c>
      <c r="F19" s="35">
        <f>0.34*(F14-F15-F16-F17-F18)</f>
        <v>431.6846686</v>
      </c>
      <c r="G19" s="35">
        <f>0.34*(G14-G15-G16-G17-G18)</f>
        <v>431.6846686</v>
      </c>
      <c r="H19" s="35">
        <f>0.34*(H14-H15-H16-H17-H18)</f>
        <v>431.6846686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spans="1:18" s="17" customFormat="1" ht="11.25" customHeight="1">
      <c r="A20" s="23">
        <f t="shared" si="2"/>
        <v>14</v>
      </c>
      <c r="B20" s="36" t="s">
        <v>17</v>
      </c>
      <c r="C20" s="36"/>
      <c r="D20" s="37">
        <f>D14-D15-D16-D17-D18-D19</f>
        <v>837.9761213999999</v>
      </c>
      <c r="E20" s="37">
        <f>E14-E15-E16-E17-E18-E19</f>
        <v>837.9761213999999</v>
      </c>
      <c r="F20" s="37">
        <f>F14-F15-F16-F17-F18-F19</f>
        <v>837.9761213999999</v>
      </c>
      <c r="G20" s="37">
        <f>G14-G15-G16-G17-G18-G19</f>
        <v>837.9761213999999</v>
      </c>
      <c r="H20" s="37">
        <f>H14-H15-H16-H17-H18-H19</f>
        <v>837.9761213999999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7" customFormat="1" ht="11.25" customHeight="1">
      <c r="A21" s="23">
        <f t="shared" si="2"/>
        <v>15</v>
      </c>
      <c r="B21" s="34" t="s">
        <v>18</v>
      </c>
      <c r="C21" s="34"/>
      <c r="D21" s="27">
        <f>D17</f>
        <v>2000</v>
      </c>
      <c r="E21" s="27">
        <f>E17</f>
        <v>2000</v>
      </c>
      <c r="F21" s="27">
        <f>F17</f>
        <v>2000</v>
      </c>
      <c r="G21" s="27">
        <f>G17</f>
        <v>2000</v>
      </c>
      <c r="H21" s="27">
        <f>H17</f>
        <v>2000</v>
      </c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7" customFormat="1" ht="11.25" customHeight="1">
      <c r="A22" s="23">
        <v>16</v>
      </c>
      <c r="B22" s="34" t="s">
        <v>50</v>
      </c>
      <c r="C22" s="34"/>
      <c r="D22" s="27">
        <f>D5-C5</f>
        <v>0</v>
      </c>
      <c r="E22" s="27">
        <f>E5-D5</f>
        <v>0</v>
      </c>
      <c r="F22" s="27">
        <f>F5-E5</f>
        <v>0</v>
      </c>
      <c r="G22" s="27">
        <f>G5-F5</f>
        <v>0</v>
      </c>
      <c r="H22" s="27">
        <f>H5-G5</f>
        <v>-2000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7" customFormat="1" ht="11.25" customHeight="1">
      <c r="A23" s="23">
        <v>17</v>
      </c>
      <c r="B23" s="36" t="s">
        <v>19</v>
      </c>
      <c r="C23" s="38"/>
      <c r="D23" s="37">
        <f>D20+D21-D22</f>
        <v>2837.9761214</v>
      </c>
      <c r="E23" s="37">
        <f>E20+E21-E22</f>
        <v>2837.9761214</v>
      </c>
      <c r="F23" s="37">
        <f>F20+F21-F22</f>
        <v>2837.9761214</v>
      </c>
      <c r="G23" s="37">
        <f>G20+G21-G22</f>
        <v>2837.9761214</v>
      </c>
      <c r="H23" s="37">
        <f>H20+H21-H22</f>
        <v>4837.9761214</v>
      </c>
      <c r="I23" s="18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1.25" customHeight="1">
      <c r="A24" s="23"/>
      <c r="B24" s="39"/>
      <c r="C24" s="39"/>
      <c r="D24" s="40"/>
      <c r="E24" s="40"/>
      <c r="F24" s="40"/>
      <c r="G24" s="40"/>
      <c r="H24" s="40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11.25" customHeight="1">
      <c r="A25" s="23">
        <v>18</v>
      </c>
      <c r="B25" s="39" t="s">
        <v>20</v>
      </c>
      <c r="C25" s="39"/>
      <c r="D25" s="41">
        <f>D20/C10</f>
        <v>0.06983134344999999</v>
      </c>
      <c r="E25" s="41">
        <f>E20/D10</f>
        <v>0.08379761213999999</v>
      </c>
      <c r="F25" s="41">
        <f>F20/E10</f>
        <v>0.104747015175</v>
      </c>
      <c r="G25" s="41">
        <f>G20/F10</f>
        <v>0.1396626869</v>
      </c>
      <c r="H25" s="41">
        <f>H20/G10</f>
        <v>0.20949403035000003</v>
      </c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7" customFormat="1" ht="11.25" customHeight="1">
      <c r="A26" s="23">
        <v>19</v>
      </c>
      <c r="B26" s="39" t="s">
        <v>21</v>
      </c>
      <c r="C26" s="39"/>
      <c r="D26" s="41">
        <f>D20/$C11</f>
        <v>0.06983134344999999</v>
      </c>
      <c r="E26" s="41">
        <f>E20/$C11</f>
        <v>0.06983134344999999</v>
      </c>
      <c r="F26" s="41">
        <f>F20/$C11</f>
        <v>0.06983134344999999</v>
      </c>
      <c r="G26" s="41">
        <f>G20/$C11</f>
        <v>0.06983134344999999</v>
      </c>
      <c r="H26" s="41">
        <f>H20/$C11</f>
        <v>0.06983134344999999</v>
      </c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7" customFormat="1" ht="11.25" customHeight="1">
      <c r="A27" s="23">
        <v>20</v>
      </c>
      <c r="B27" s="42" t="s">
        <v>22</v>
      </c>
      <c r="C27" s="43">
        <v>0.1</v>
      </c>
      <c r="D27" s="43">
        <v>0.1</v>
      </c>
      <c r="E27" s="43">
        <v>0.1</v>
      </c>
      <c r="F27" s="43">
        <v>0.1</v>
      </c>
      <c r="G27" s="43">
        <v>0.1</v>
      </c>
      <c r="H27" s="43">
        <v>0.1</v>
      </c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7" customFormat="1" ht="11.25" customHeight="1">
      <c r="A28" s="23">
        <v>21</v>
      </c>
      <c r="B28" s="44" t="s">
        <v>47</v>
      </c>
      <c r="C28" s="37">
        <f>NPV(C27,D23:$I23)</f>
        <v>12000.004979018531</v>
      </c>
      <c r="D28" s="37">
        <f>NPV(D27,E23:$I23)</f>
        <v>10362.029355520386</v>
      </c>
      <c r="E28" s="37">
        <f>NPV(E27,F23:$I23)</f>
        <v>8560.256169672426</v>
      </c>
      <c r="F28" s="37">
        <f>NPV(F27,G23:$I23)</f>
        <v>6578.305665239668</v>
      </c>
      <c r="G28" s="37">
        <f>NPV(G27,H23:$I23)</f>
        <v>4398.160110363636</v>
      </c>
      <c r="H28" s="37">
        <f>NPV(H27,I23:$I23)</f>
        <v>0</v>
      </c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7" customFormat="1" ht="11.25" customHeight="1" thickBot="1">
      <c r="A29" s="23"/>
      <c r="B29" s="45"/>
      <c r="C29" s="45"/>
      <c r="D29" s="46"/>
      <c r="E29" s="46"/>
      <c r="F29" s="46"/>
      <c r="G29" s="46"/>
      <c r="H29" s="4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7" customFormat="1" ht="11.25" customHeight="1" thickBot="1">
      <c r="A30" s="23">
        <v>22</v>
      </c>
      <c r="B30" s="47" t="s">
        <v>23</v>
      </c>
      <c r="C30" s="48">
        <f aca="true" t="shared" si="3" ref="C30:H30">C28-C10</f>
        <v>0.004979018531230395</v>
      </c>
      <c r="D30" s="48">
        <f t="shared" si="3"/>
        <v>362.02935552038616</v>
      </c>
      <c r="E30" s="48">
        <f t="shared" si="3"/>
        <v>560.256169672427</v>
      </c>
      <c r="F30" s="48">
        <f t="shared" si="3"/>
        <v>578.305665239669</v>
      </c>
      <c r="G30" s="48">
        <f t="shared" si="3"/>
        <v>398.1601103636367</v>
      </c>
      <c r="H30" s="49">
        <f t="shared" si="3"/>
        <v>0</v>
      </c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7" customFormat="1" ht="11.25" customHeight="1" thickBot="1">
      <c r="A31" s="23"/>
      <c r="B31" s="34"/>
      <c r="C31" s="27"/>
      <c r="D31" s="27"/>
      <c r="E31" s="27"/>
      <c r="F31" s="27"/>
      <c r="G31" s="27"/>
      <c r="H31" s="27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7" customFormat="1" ht="11.25" customHeight="1">
      <c r="A32" s="50">
        <f>A30+1</f>
        <v>23</v>
      </c>
      <c r="B32" s="51" t="s">
        <v>48</v>
      </c>
      <c r="C32" s="52"/>
      <c r="D32" s="52">
        <f>D20-C27*C10</f>
        <v>-362.0238786000001</v>
      </c>
      <c r="E32" s="52">
        <f>E20-D27*D10</f>
        <v>-162.0238786000001</v>
      </c>
      <c r="F32" s="52">
        <f>F20-E27*E10</f>
        <v>37.9761213999999</v>
      </c>
      <c r="G32" s="52">
        <f>G20-F27*F10</f>
        <v>237.9761214</v>
      </c>
      <c r="H32" s="53">
        <f>H20-G27*G10</f>
        <v>437.97612139999995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7" customFormat="1" ht="11.25" customHeight="1" thickBot="1">
      <c r="A33" s="50">
        <f>A32+1</f>
        <v>24</v>
      </c>
      <c r="B33" s="54" t="s">
        <v>49</v>
      </c>
      <c r="C33" s="55">
        <f>NPV(C27,D32:$I32)</f>
        <v>0.004979018534072566</v>
      </c>
      <c r="D33" s="56">
        <f>NPV(D27,E32:$I32)</f>
        <v>362.0293555203876</v>
      </c>
      <c r="E33" s="56">
        <f>NPV(E27,F32:$I32)</f>
        <v>560.2561696724265</v>
      </c>
      <c r="F33" s="56">
        <f>NPV(F27,G32:$I32)</f>
        <v>578.3056652396692</v>
      </c>
      <c r="G33" s="56">
        <f>NPV(G27,H32:$I32)</f>
        <v>398.1601103636363</v>
      </c>
      <c r="H33" s="57">
        <f>NPV(H27,I32:$I32)</f>
        <v>0</v>
      </c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7" customFormat="1" ht="12.75">
      <c r="A34" s="19"/>
      <c r="B34" s="20"/>
      <c r="C34" s="21"/>
      <c r="D34" s="21"/>
      <c r="E34" s="21"/>
      <c r="F34" s="21"/>
      <c r="G34" s="21"/>
      <c r="H34" s="21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6" ht="12.75">
      <c r="B36" s="1" t="s">
        <v>24</v>
      </c>
    </row>
    <row r="38" spans="1:8" ht="11.25" customHeight="1">
      <c r="A38" s="62"/>
      <c r="B38" s="66" t="s">
        <v>51</v>
      </c>
      <c r="C38" s="67">
        <v>0</v>
      </c>
      <c r="D38" s="67">
        <v>1</v>
      </c>
      <c r="E38" s="67">
        <v>2</v>
      </c>
      <c r="F38" s="67">
        <v>3</v>
      </c>
      <c r="G38" s="67">
        <v>4</v>
      </c>
      <c r="H38" s="67">
        <v>5</v>
      </c>
    </row>
    <row r="39" spans="1:8" ht="11.25" customHeight="1">
      <c r="A39" s="64"/>
      <c r="B39" s="68" t="s">
        <v>25</v>
      </c>
      <c r="C39" s="68"/>
      <c r="D39" s="69">
        <f aca="true" t="shared" si="4" ref="D39:H40">D20</f>
        <v>837.9761213999999</v>
      </c>
      <c r="E39" s="69">
        <f t="shared" si="4"/>
        <v>837.9761213999999</v>
      </c>
      <c r="F39" s="69">
        <f t="shared" si="4"/>
        <v>837.9761213999999</v>
      </c>
      <c r="G39" s="69">
        <f t="shared" si="4"/>
        <v>837.9761213999999</v>
      </c>
      <c r="H39" s="69">
        <f t="shared" si="4"/>
        <v>837.9761213999999</v>
      </c>
    </row>
    <row r="40" spans="1:8" ht="11.25" customHeight="1">
      <c r="A40" s="65"/>
      <c r="B40" s="70" t="s">
        <v>18</v>
      </c>
      <c r="C40" s="68"/>
      <c r="D40" s="69">
        <f t="shared" si="4"/>
        <v>2000</v>
      </c>
      <c r="E40" s="69">
        <f t="shared" si="4"/>
        <v>2000</v>
      </c>
      <c r="F40" s="69">
        <f t="shared" si="4"/>
        <v>2000</v>
      </c>
      <c r="G40" s="69">
        <f t="shared" si="4"/>
        <v>2000</v>
      </c>
      <c r="H40" s="69">
        <f t="shared" si="4"/>
        <v>2000</v>
      </c>
    </row>
    <row r="41" spans="1:8" ht="11.25" customHeight="1">
      <c r="A41" s="65"/>
      <c r="B41" s="70" t="s">
        <v>52</v>
      </c>
      <c r="C41" s="68"/>
      <c r="D41" s="71">
        <v>1637.9748</v>
      </c>
      <c r="E41" s="71">
        <v>1637.9748</v>
      </c>
      <c r="F41" s="71">
        <v>1637.9748</v>
      </c>
      <c r="G41" s="71">
        <v>1637.9748</v>
      </c>
      <c r="H41" s="71">
        <v>1637.9748</v>
      </c>
    </row>
    <row r="42" spans="1:8" ht="11.25" customHeight="1">
      <c r="A42" s="65"/>
      <c r="B42" s="70" t="s">
        <v>26</v>
      </c>
      <c r="C42" s="68"/>
      <c r="D42" s="69">
        <f>D47</f>
        <v>1200</v>
      </c>
      <c r="E42" s="69">
        <f>E47</f>
        <v>1200</v>
      </c>
      <c r="F42" s="69">
        <f>F47</f>
        <v>1200</v>
      </c>
      <c r="G42" s="69">
        <f>G47</f>
        <v>1200</v>
      </c>
      <c r="H42" s="69">
        <f>H47</f>
        <v>1200</v>
      </c>
    </row>
    <row r="43" spans="1:8" ht="11.25" customHeight="1" thickBot="1">
      <c r="A43" s="65"/>
      <c r="B43" s="72" t="s">
        <v>27</v>
      </c>
      <c r="C43" s="73"/>
      <c r="D43" s="79">
        <f>D39+D40-D41-D42</f>
        <v>0.0013214000000516535</v>
      </c>
      <c r="E43" s="79">
        <f>E39+E40-E41-E42</f>
        <v>0.0013214000000516535</v>
      </c>
      <c r="F43" s="79">
        <f>F39+F40-F41-F42</f>
        <v>0.0013214000000516535</v>
      </c>
      <c r="G43" s="79">
        <f>G39+G40-G41-G42</f>
        <v>0.0013214000000516535</v>
      </c>
      <c r="H43" s="79">
        <f>H39+H40-H41-H42</f>
        <v>0.0013214000000516535</v>
      </c>
    </row>
    <row r="44" spans="1:8" ht="15.75">
      <c r="A44" s="65"/>
      <c r="B44" s="63"/>
      <c r="C44" s="63"/>
      <c r="D44" s="63"/>
      <c r="E44" s="63"/>
      <c r="F44" s="63"/>
      <c r="G44" s="63"/>
      <c r="H44" s="63"/>
    </row>
    <row r="45" spans="1:8" s="75" customFormat="1" ht="13.5">
      <c r="A45" s="61"/>
      <c r="B45" s="59" t="s">
        <v>54</v>
      </c>
      <c r="C45" s="58">
        <f>C8</f>
        <v>12000</v>
      </c>
      <c r="D45" s="58">
        <f>C45</f>
        <v>12000</v>
      </c>
      <c r="E45" s="58">
        <f>D45</f>
        <v>12000</v>
      </c>
      <c r="F45" s="58">
        <f>E45</f>
        <v>12000</v>
      </c>
      <c r="G45" s="58">
        <f>F45</f>
        <v>12000</v>
      </c>
      <c r="H45" s="58">
        <f>G45</f>
        <v>12000</v>
      </c>
    </row>
    <row r="46" spans="1:8" s="75" customFormat="1" ht="13.5">
      <c r="A46" s="61"/>
      <c r="B46" s="59" t="s">
        <v>37</v>
      </c>
      <c r="C46" s="60"/>
      <c r="D46" s="76">
        <f>D27</f>
        <v>0.1</v>
      </c>
      <c r="E46" s="76">
        <f>E27</f>
        <v>0.1</v>
      </c>
      <c r="F46" s="76">
        <f>F27</f>
        <v>0.1</v>
      </c>
      <c r="G46" s="76">
        <f>G27</f>
        <v>0.1</v>
      </c>
      <c r="H46" s="76">
        <f>H27</f>
        <v>0.1</v>
      </c>
    </row>
    <row r="47" spans="1:8" s="75" customFormat="1" ht="14.25" thickBot="1">
      <c r="A47" s="61"/>
      <c r="B47" s="80" t="s">
        <v>53</v>
      </c>
      <c r="C47" s="77"/>
      <c r="D47" s="78">
        <f>C45*D46</f>
        <v>1200</v>
      </c>
      <c r="E47" s="78">
        <f>D45*E46</f>
        <v>1200</v>
      </c>
      <c r="F47" s="78">
        <f>E45*F46</f>
        <v>1200</v>
      </c>
      <c r="G47" s="78">
        <f>F45*G46</f>
        <v>1200</v>
      </c>
      <c r="H47" s="78">
        <f>G45*H46</f>
        <v>1200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pane ySplit="6000" topLeftCell="A22" activePane="bottomLeft" state="split"/>
      <selection pane="topLeft" activeCell="K18" sqref="K18"/>
      <selection pane="bottomLeft" activeCell="L29" sqref="L29"/>
    </sheetView>
  </sheetViews>
  <sheetFormatPr defaultColWidth="11.421875" defaultRowHeight="15"/>
  <cols>
    <col min="1" max="1" width="4.7109375" style="0" customWidth="1"/>
    <col min="2" max="2" width="27.00390625" style="0" customWidth="1"/>
    <col min="3" max="8" width="8.140625" style="0" customWidth="1"/>
    <col min="9" max="16384" width="9.140625" style="0" customWidth="1"/>
  </cols>
  <sheetData>
    <row r="1" ht="15">
      <c r="B1" s="1" t="s">
        <v>28</v>
      </c>
    </row>
    <row r="2" ht="15">
      <c r="B2" s="1" t="s">
        <v>29</v>
      </c>
    </row>
    <row r="3" ht="12.75" customHeight="1"/>
    <row r="4" spans="1:8" s="92" customFormat="1" ht="12.75" customHeight="1">
      <c r="A4" s="90"/>
      <c r="B4" s="91" t="s">
        <v>2</v>
      </c>
      <c r="C4" s="3">
        <v>0</v>
      </c>
      <c r="D4" s="3">
        <v>1</v>
      </c>
      <c r="E4" s="3">
        <f>D4+1</f>
        <v>2</v>
      </c>
      <c r="F4" s="3">
        <f>E4+1</f>
        <v>3</v>
      </c>
      <c r="G4" s="3">
        <f>F4+1</f>
        <v>4</v>
      </c>
      <c r="H4" s="3">
        <f>G4+1</f>
        <v>5</v>
      </c>
    </row>
    <row r="5" spans="1:8" s="92" customFormat="1" ht="12.75" customHeight="1">
      <c r="A5" s="90">
        <v>1</v>
      </c>
      <c r="B5" s="93" t="s">
        <v>3</v>
      </c>
      <c r="C5" s="94">
        <v>2000</v>
      </c>
      <c r="D5" s="94">
        <v>2000</v>
      </c>
      <c r="E5" s="94">
        <v>2000</v>
      </c>
      <c r="F5" s="94">
        <v>2000</v>
      </c>
      <c r="G5" s="94">
        <v>2000</v>
      </c>
      <c r="H5" s="94">
        <v>0</v>
      </c>
    </row>
    <row r="6" spans="1:8" s="92" customFormat="1" ht="12.75" customHeight="1">
      <c r="A6" s="90">
        <v>2</v>
      </c>
      <c r="B6" s="93" t="s">
        <v>4</v>
      </c>
      <c r="C6" s="94">
        <v>10000</v>
      </c>
      <c r="D6" s="95">
        <f>C6</f>
        <v>10000</v>
      </c>
      <c r="E6" s="95">
        <f>D6</f>
        <v>10000</v>
      </c>
      <c r="F6" s="95">
        <f>E6</f>
        <v>10000</v>
      </c>
      <c r="G6" s="95">
        <f>F6</f>
        <v>10000</v>
      </c>
      <c r="H6" s="95">
        <f>G6</f>
        <v>10000</v>
      </c>
    </row>
    <row r="7" spans="1:8" s="92" customFormat="1" ht="12.75" customHeight="1">
      <c r="A7" s="90">
        <v>3</v>
      </c>
      <c r="B7" s="93" t="s">
        <v>5</v>
      </c>
      <c r="C7" s="96">
        <v>0</v>
      </c>
      <c r="D7" s="95">
        <f>C7+D17</f>
        <v>2000</v>
      </c>
      <c r="E7" s="95">
        <f>D7+E17</f>
        <v>4000</v>
      </c>
      <c r="F7" s="95">
        <f>E7+F17</f>
        <v>6000</v>
      </c>
      <c r="G7" s="95">
        <f>F7+G17</f>
        <v>8000</v>
      </c>
      <c r="H7" s="95">
        <f>G7+H17</f>
        <v>10000</v>
      </c>
    </row>
    <row r="8" spans="1:8" s="92" customFormat="1" ht="12.75" customHeight="1">
      <c r="A8" s="90">
        <v>4</v>
      </c>
      <c r="B8" s="97" t="s">
        <v>6</v>
      </c>
      <c r="C8" s="98">
        <f aca="true" t="shared" si="0" ref="C8:H8">C5+C6-C7</f>
        <v>12000</v>
      </c>
      <c r="D8" s="98">
        <f t="shared" si="0"/>
        <v>10000</v>
      </c>
      <c r="E8" s="98">
        <f t="shared" si="0"/>
        <v>8000</v>
      </c>
      <c r="F8" s="98">
        <f t="shared" si="0"/>
        <v>6000</v>
      </c>
      <c r="G8" s="98">
        <f t="shared" si="0"/>
        <v>4000</v>
      </c>
      <c r="H8" s="98">
        <f t="shared" si="0"/>
        <v>0</v>
      </c>
    </row>
    <row r="9" spans="1:8" s="92" customFormat="1" ht="12.75" customHeight="1">
      <c r="A9" s="90">
        <v>5</v>
      </c>
      <c r="B9" s="93" t="s">
        <v>7</v>
      </c>
      <c r="C9" s="94">
        <v>4000</v>
      </c>
      <c r="D9" s="94">
        <v>4000</v>
      </c>
      <c r="E9" s="94">
        <v>4000</v>
      </c>
      <c r="F9" s="94">
        <v>4000</v>
      </c>
      <c r="G9" s="94">
        <v>4000</v>
      </c>
      <c r="H9" s="94">
        <v>0</v>
      </c>
    </row>
    <row r="10" spans="1:8" s="92" customFormat="1" ht="12.75" customHeight="1">
      <c r="A10" s="90">
        <v>6</v>
      </c>
      <c r="B10" s="93" t="s">
        <v>8</v>
      </c>
      <c r="C10" s="94">
        <v>8000</v>
      </c>
      <c r="D10" s="94">
        <f>D8-D9</f>
        <v>6000</v>
      </c>
      <c r="E10" s="94">
        <f>E8-E9</f>
        <v>4000</v>
      </c>
      <c r="F10" s="94">
        <f>F8-F9</f>
        <v>2000</v>
      </c>
      <c r="G10" s="94">
        <f>G8-G9</f>
        <v>0</v>
      </c>
      <c r="H10" s="94">
        <f>H8-H9</f>
        <v>0</v>
      </c>
    </row>
    <row r="11" spans="1:8" s="92" customFormat="1" ht="12.75" customHeight="1">
      <c r="A11" s="90">
        <v>7</v>
      </c>
      <c r="B11" s="97" t="s">
        <v>9</v>
      </c>
      <c r="C11" s="98">
        <f aca="true" t="shared" si="1" ref="C11:H11">C9+C10</f>
        <v>12000</v>
      </c>
      <c r="D11" s="98">
        <f t="shared" si="1"/>
        <v>10000</v>
      </c>
      <c r="E11" s="98">
        <f t="shared" si="1"/>
        <v>8000</v>
      </c>
      <c r="F11" s="98">
        <f t="shared" si="1"/>
        <v>6000</v>
      </c>
      <c r="G11" s="98">
        <f t="shared" si="1"/>
        <v>4000</v>
      </c>
      <c r="H11" s="98">
        <f t="shared" si="1"/>
        <v>0</v>
      </c>
    </row>
    <row r="12" spans="1:8" s="92" customFormat="1" ht="12.75" customHeight="1">
      <c r="A12" s="90"/>
      <c r="B12" s="99"/>
      <c r="C12" s="100"/>
      <c r="D12" s="101"/>
      <c r="E12" s="101"/>
      <c r="F12" s="101"/>
      <c r="G12" s="101"/>
      <c r="H12" s="101"/>
    </row>
    <row r="13" spans="1:8" s="92" customFormat="1" ht="12.75" customHeight="1">
      <c r="A13" s="90"/>
      <c r="B13" s="99" t="s">
        <v>10</v>
      </c>
      <c r="C13" s="100"/>
      <c r="D13" s="100"/>
      <c r="E13" s="100"/>
      <c r="F13" s="100"/>
      <c r="G13" s="100"/>
      <c r="H13" s="100"/>
    </row>
    <row r="14" spans="1:8" s="92" customFormat="1" ht="12.75" customHeight="1">
      <c r="A14" s="90">
        <v>8</v>
      </c>
      <c r="B14" s="93" t="s">
        <v>11</v>
      </c>
      <c r="C14" s="96"/>
      <c r="D14" s="102">
        <v>10000</v>
      </c>
      <c r="E14" s="102">
        <v>10000</v>
      </c>
      <c r="F14" s="102">
        <v>10000</v>
      </c>
      <c r="G14" s="102">
        <v>10000</v>
      </c>
      <c r="H14" s="102">
        <v>10000</v>
      </c>
    </row>
    <row r="15" spans="1:8" s="92" customFormat="1" ht="12.75" customHeight="1">
      <c r="A15" s="90">
        <v>9</v>
      </c>
      <c r="B15" s="93" t="s">
        <v>12</v>
      </c>
      <c r="C15" s="96"/>
      <c r="D15" s="102">
        <v>4000</v>
      </c>
      <c r="E15" s="102">
        <v>4000</v>
      </c>
      <c r="F15" s="102">
        <v>4000</v>
      </c>
      <c r="G15" s="102">
        <v>4000</v>
      </c>
      <c r="H15" s="102">
        <v>4000</v>
      </c>
    </row>
    <row r="16" spans="1:8" s="92" customFormat="1" ht="12.75" customHeight="1">
      <c r="A16" s="90">
        <f aca="true" t="shared" si="2" ref="A16:A26">A15+1</f>
        <v>10</v>
      </c>
      <c r="B16" s="93" t="s">
        <v>13</v>
      </c>
      <c r="C16" s="96"/>
      <c r="D16" s="102">
        <v>2730.3392</v>
      </c>
      <c r="E16" s="102">
        <v>2730.3392</v>
      </c>
      <c r="F16" s="102">
        <v>2730.3392</v>
      </c>
      <c r="G16" s="102">
        <v>2730.3392</v>
      </c>
      <c r="H16" s="102">
        <v>2730.3392</v>
      </c>
    </row>
    <row r="17" spans="1:8" s="92" customFormat="1" ht="12.75" customHeight="1">
      <c r="A17" s="90">
        <f t="shared" si="2"/>
        <v>11</v>
      </c>
      <c r="B17" s="93" t="s">
        <v>14</v>
      </c>
      <c r="C17" s="96"/>
      <c r="D17" s="102">
        <v>2000</v>
      </c>
      <c r="E17" s="102">
        <v>2000</v>
      </c>
      <c r="F17" s="102">
        <v>2000</v>
      </c>
      <c r="G17" s="102">
        <v>2000</v>
      </c>
      <c r="H17" s="102">
        <v>2000</v>
      </c>
    </row>
    <row r="18" spans="1:8" s="92" customFormat="1" ht="12.75" customHeight="1">
      <c r="A18" s="90">
        <f t="shared" si="2"/>
        <v>12</v>
      </c>
      <c r="B18" s="103" t="s">
        <v>15</v>
      </c>
      <c r="C18" s="103"/>
      <c r="D18" s="102">
        <f>C9*0.08</f>
        <v>320</v>
      </c>
      <c r="E18" s="102">
        <f>D9*0.08</f>
        <v>320</v>
      </c>
      <c r="F18" s="102">
        <f>E9*0.08</f>
        <v>320</v>
      </c>
      <c r="G18" s="102">
        <f>F9*0.08</f>
        <v>320</v>
      </c>
      <c r="H18" s="102">
        <f>G9*0.08</f>
        <v>320</v>
      </c>
    </row>
    <row r="19" spans="1:8" s="92" customFormat="1" ht="12.75" customHeight="1">
      <c r="A19" s="90">
        <f t="shared" si="2"/>
        <v>13</v>
      </c>
      <c r="B19" s="103" t="s">
        <v>16</v>
      </c>
      <c r="C19" s="103"/>
      <c r="D19" s="102">
        <f>(D14-D15-D16-D17-D18)*0.34</f>
        <v>322.8846720000001</v>
      </c>
      <c r="E19" s="102">
        <f>(E14-E15-E16-E17-E18)*0.34</f>
        <v>322.8846720000001</v>
      </c>
      <c r="F19" s="102">
        <f>(F14-F15-F16-F17-F18)*0.34</f>
        <v>322.8846720000001</v>
      </c>
      <c r="G19" s="102">
        <f>(G14-G15-G16-G17-G18)*0.34</f>
        <v>322.8846720000001</v>
      </c>
      <c r="H19" s="102">
        <f>(H14-H15-H16-H17-H18)*0.34</f>
        <v>322.8846720000001</v>
      </c>
    </row>
    <row r="20" spans="1:8" s="92" customFormat="1" ht="12.75" customHeight="1">
      <c r="A20" s="90">
        <f t="shared" si="2"/>
        <v>14</v>
      </c>
      <c r="B20" s="104" t="s">
        <v>17</v>
      </c>
      <c r="C20" s="104"/>
      <c r="D20" s="105">
        <f>D14-D15-D16-D17-D18-D19</f>
        <v>626.776128</v>
      </c>
      <c r="E20" s="105">
        <f>E14-E15-E16-E17-E18-E19</f>
        <v>626.776128</v>
      </c>
      <c r="F20" s="105">
        <f>F14-F15-F16-F17-F18-F19</f>
        <v>626.776128</v>
      </c>
      <c r="G20" s="105">
        <f>G14-G15-G16-G17-G18-G19</f>
        <v>626.776128</v>
      </c>
      <c r="H20" s="105">
        <f>H14-H15-H16-H17-H18-H19</f>
        <v>626.776128</v>
      </c>
    </row>
    <row r="21" spans="1:8" s="92" customFormat="1" ht="12.75" customHeight="1">
      <c r="A21" s="90">
        <f t="shared" si="2"/>
        <v>15</v>
      </c>
      <c r="B21" s="103" t="s">
        <v>18</v>
      </c>
      <c r="C21" s="103"/>
      <c r="D21" s="102">
        <f>D17</f>
        <v>2000</v>
      </c>
      <c r="E21" s="102">
        <f>E17</f>
        <v>2000</v>
      </c>
      <c r="F21" s="102">
        <f>F17</f>
        <v>2000</v>
      </c>
      <c r="G21" s="102">
        <f>G17</f>
        <v>2000</v>
      </c>
      <c r="H21" s="102">
        <f>H17</f>
        <v>2000</v>
      </c>
    </row>
    <row r="22" spans="1:8" s="92" customFormat="1" ht="12.75" customHeight="1">
      <c r="A22" s="90">
        <f t="shared" si="2"/>
        <v>16</v>
      </c>
      <c r="B22" s="103" t="s">
        <v>71</v>
      </c>
      <c r="C22" s="103"/>
      <c r="D22" s="102">
        <f>D9-C9</f>
        <v>0</v>
      </c>
      <c r="E22" s="102">
        <f>E9-D9</f>
        <v>0</v>
      </c>
      <c r="F22" s="102">
        <f>F9-E9</f>
        <v>0</v>
      </c>
      <c r="G22" s="102">
        <f>G9-F9</f>
        <v>0</v>
      </c>
      <c r="H22" s="102">
        <f>H9-G9</f>
        <v>-4000</v>
      </c>
    </row>
    <row r="23" spans="1:8" s="92" customFormat="1" ht="12.75" customHeight="1">
      <c r="A23" s="90">
        <f t="shared" si="2"/>
        <v>17</v>
      </c>
      <c r="B23" s="103" t="s">
        <v>30</v>
      </c>
      <c r="C23" s="103"/>
      <c r="D23" s="102">
        <f aca="true" t="shared" si="3" ref="D23:H24">D5-C5</f>
        <v>0</v>
      </c>
      <c r="E23" s="102">
        <f t="shared" si="3"/>
        <v>0</v>
      </c>
      <c r="F23" s="102">
        <f t="shared" si="3"/>
        <v>0</v>
      </c>
      <c r="G23" s="102">
        <f t="shared" si="3"/>
        <v>0</v>
      </c>
      <c r="H23" s="102">
        <f t="shared" si="3"/>
        <v>-2000</v>
      </c>
    </row>
    <row r="24" spans="1:8" s="92" customFormat="1" ht="12.75" customHeight="1">
      <c r="A24" s="90">
        <f t="shared" si="2"/>
        <v>18</v>
      </c>
      <c r="B24" s="103" t="s">
        <v>31</v>
      </c>
      <c r="C24" s="103"/>
      <c r="D24" s="102">
        <f t="shared" si="3"/>
        <v>0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0</v>
      </c>
    </row>
    <row r="25" spans="1:8" s="92" customFormat="1" ht="12.75" customHeight="1">
      <c r="A25" s="90">
        <f t="shared" si="2"/>
        <v>19</v>
      </c>
      <c r="B25" s="104" t="s">
        <v>32</v>
      </c>
      <c r="C25" s="106"/>
      <c r="D25" s="107">
        <f>D20+D21+D22-D23-D24</f>
        <v>2626.776128</v>
      </c>
      <c r="E25" s="107">
        <f>E20+E21+E22-E23-E24</f>
        <v>2626.776128</v>
      </c>
      <c r="F25" s="107">
        <f>F20+F21+F22-F23-F24</f>
        <v>2626.776128</v>
      </c>
      <c r="G25" s="107">
        <f>G20+G21+G22-G23-G24</f>
        <v>2626.776128</v>
      </c>
      <c r="H25" s="107">
        <f>H20+H21+H22-H23-H24</f>
        <v>626.776128</v>
      </c>
    </row>
    <row r="26" spans="1:8" s="92" customFormat="1" ht="12.75" customHeight="1">
      <c r="A26" s="90">
        <f t="shared" si="2"/>
        <v>20</v>
      </c>
      <c r="B26" s="104" t="s">
        <v>33</v>
      </c>
      <c r="C26" s="104"/>
      <c r="D26" s="108">
        <f>D25+D18*(1-0.34)-D22</f>
        <v>2837.976128</v>
      </c>
      <c r="E26" s="108">
        <f>E25+E18*(1-0.34)-E22</f>
        <v>2837.976128</v>
      </c>
      <c r="F26" s="108">
        <f>F25+F18*(1-0.34)-F22</f>
        <v>2837.976128</v>
      </c>
      <c r="G26" s="108">
        <f>G25+G18*(1-0.34)-G22</f>
        <v>2837.976128</v>
      </c>
      <c r="H26" s="108">
        <f>H25+H18*(1-0.34)-H22</f>
        <v>4837.976128</v>
      </c>
    </row>
    <row r="27" spans="1:8" s="92" customFormat="1" ht="12.75" customHeight="1">
      <c r="A27" s="90"/>
      <c r="B27" s="109"/>
      <c r="C27" s="109"/>
      <c r="D27" s="110"/>
      <c r="E27" s="110"/>
      <c r="F27" s="110"/>
      <c r="G27" s="110"/>
      <c r="H27" s="110"/>
    </row>
    <row r="28" spans="1:8" s="92" customFormat="1" ht="12.75" customHeight="1">
      <c r="A28" s="90">
        <v>21</v>
      </c>
      <c r="B28" s="109" t="s">
        <v>34</v>
      </c>
      <c r="C28" s="109"/>
      <c r="D28" s="111">
        <f>D20/C10</f>
        <v>0.07834701599999999</v>
      </c>
      <c r="E28" s="111">
        <f>E20/D10</f>
        <v>0.104462688</v>
      </c>
      <c r="F28" s="111">
        <f>F20/E10</f>
        <v>0.15669403199999998</v>
      </c>
      <c r="G28" s="111">
        <f>G20/F10</f>
        <v>0.31338806399999997</v>
      </c>
      <c r="H28" s="111"/>
    </row>
    <row r="29" spans="1:8" s="92" customFormat="1" ht="12.75" customHeight="1">
      <c r="A29" s="90">
        <v>22</v>
      </c>
      <c r="B29" s="109" t="s">
        <v>35</v>
      </c>
      <c r="C29" s="109"/>
      <c r="D29" s="111">
        <f>(D20+D18*(1-0.34))/(C9+C10)</f>
        <v>0.069831344</v>
      </c>
      <c r="E29" s="111">
        <f>(E20+E18*(1-0.34))/(D9+D10)</f>
        <v>0.0837976128</v>
      </c>
      <c r="F29" s="111">
        <f>(F20+F18*(1-0.34))/(E9+E10)</f>
        <v>0.104747016</v>
      </c>
      <c r="G29" s="111">
        <f>(G20+G18*(1-0.34))/(F9+F10)</f>
        <v>0.139662688</v>
      </c>
      <c r="H29" s="111">
        <f>(H20+H18*(1-0.34))/(G9+G10)</f>
        <v>0.209494032</v>
      </c>
    </row>
    <row r="30" spans="1:8" s="92" customFormat="1" ht="12.75" customHeight="1">
      <c r="A30" s="90">
        <v>23</v>
      </c>
      <c r="B30" s="109" t="s">
        <v>21</v>
      </c>
      <c r="C30" s="109"/>
      <c r="D30" s="111">
        <f>D29</f>
        <v>0.069831344</v>
      </c>
      <c r="E30" s="111">
        <f>D30</f>
        <v>0.069831344</v>
      </c>
      <c r="F30" s="111">
        <f>E30</f>
        <v>0.069831344</v>
      </c>
      <c r="G30" s="111">
        <f>F30</f>
        <v>0.069831344</v>
      </c>
      <c r="H30" s="111">
        <f>G30</f>
        <v>0.069831344</v>
      </c>
    </row>
    <row r="31" spans="1:8" s="92" customFormat="1" ht="12.75" customHeight="1">
      <c r="A31" s="90"/>
      <c r="B31" s="109"/>
      <c r="C31" s="109"/>
      <c r="D31" s="111"/>
      <c r="E31" s="111"/>
      <c r="F31" s="111"/>
      <c r="G31" s="111"/>
      <c r="H31" s="111"/>
    </row>
    <row r="32" spans="1:8" s="144" customFormat="1" ht="12.75" customHeight="1" hidden="1">
      <c r="A32" s="141"/>
      <c r="B32" s="142" t="s">
        <v>55</v>
      </c>
      <c r="C32" s="143">
        <v>1</v>
      </c>
      <c r="D32" s="143">
        <v>1</v>
      </c>
      <c r="E32" s="143">
        <v>1</v>
      </c>
      <c r="F32" s="143">
        <v>1</v>
      </c>
      <c r="G32" s="143">
        <v>1</v>
      </c>
      <c r="H32" s="143">
        <v>1</v>
      </c>
    </row>
    <row r="33" spans="1:8" s="144" customFormat="1" ht="12.75" customHeight="1" hidden="1">
      <c r="A33" s="141"/>
      <c r="B33" s="142" t="s">
        <v>56</v>
      </c>
      <c r="C33" s="145">
        <v>0.06</v>
      </c>
      <c r="D33" s="145">
        <f aca="true" t="shared" si="4" ref="D33:H34">C33</f>
        <v>0.06</v>
      </c>
      <c r="E33" s="145">
        <f t="shared" si="4"/>
        <v>0.06</v>
      </c>
      <c r="F33" s="145">
        <f t="shared" si="4"/>
        <v>0.06</v>
      </c>
      <c r="G33" s="145">
        <f t="shared" si="4"/>
        <v>0.06</v>
      </c>
      <c r="H33" s="145">
        <f t="shared" si="4"/>
        <v>0.06</v>
      </c>
    </row>
    <row r="34" spans="1:8" s="144" customFormat="1" ht="12.75" customHeight="1" hidden="1">
      <c r="A34" s="141"/>
      <c r="B34" s="142" t="s">
        <v>72</v>
      </c>
      <c r="C34" s="145">
        <v>0.04</v>
      </c>
      <c r="D34" s="145">
        <f t="shared" si="4"/>
        <v>0.04</v>
      </c>
      <c r="E34" s="145">
        <f t="shared" si="4"/>
        <v>0.04</v>
      </c>
      <c r="F34" s="145">
        <f t="shared" si="4"/>
        <v>0.04</v>
      </c>
      <c r="G34" s="145">
        <f t="shared" si="4"/>
        <v>0.04</v>
      </c>
      <c r="H34" s="145">
        <f t="shared" si="4"/>
        <v>0.04</v>
      </c>
    </row>
    <row r="35" spans="1:8" s="144" customFormat="1" ht="12.75" customHeight="1" hidden="1">
      <c r="A35" s="141"/>
      <c r="B35" s="146" t="s">
        <v>57</v>
      </c>
      <c r="C35" s="147">
        <f aca="true" t="shared" si="5" ref="C35:H35">C33+C32*C34</f>
        <v>0.1</v>
      </c>
      <c r="D35" s="147">
        <f t="shared" si="5"/>
        <v>0.1</v>
      </c>
      <c r="E35" s="147">
        <f t="shared" si="5"/>
        <v>0.1</v>
      </c>
      <c r="F35" s="147">
        <f t="shared" si="5"/>
        <v>0.1</v>
      </c>
      <c r="G35" s="147">
        <f t="shared" si="5"/>
        <v>0.1</v>
      </c>
      <c r="H35" s="147">
        <f t="shared" si="5"/>
        <v>0.1</v>
      </c>
    </row>
    <row r="36" spans="1:8" s="144" customFormat="1" ht="12.75" customHeight="1" hidden="1">
      <c r="A36" s="148"/>
      <c r="B36" s="142" t="s">
        <v>58</v>
      </c>
      <c r="C36" s="74">
        <v>0.08</v>
      </c>
      <c r="D36" s="74">
        <v>0.08</v>
      </c>
      <c r="E36" s="74">
        <v>0.08</v>
      </c>
      <c r="F36" s="74">
        <v>0.08</v>
      </c>
      <c r="G36" s="74">
        <v>0.08</v>
      </c>
      <c r="H36" s="74">
        <v>0.08</v>
      </c>
    </row>
    <row r="37" spans="1:8" s="144" customFormat="1" ht="12.75" customHeight="1" hidden="1">
      <c r="A37" s="148"/>
      <c r="B37" s="142" t="s">
        <v>59</v>
      </c>
      <c r="C37" s="149">
        <f aca="true" t="shared" si="6" ref="C37:H37">(C36-C33)/C34</f>
        <v>0.5000000000000001</v>
      </c>
      <c r="D37" s="149">
        <f t="shared" si="6"/>
        <v>0.5000000000000001</v>
      </c>
      <c r="E37" s="149">
        <f t="shared" si="6"/>
        <v>0.5000000000000001</v>
      </c>
      <c r="F37" s="149">
        <f t="shared" si="6"/>
        <v>0.5000000000000001</v>
      </c>
      <c r="G37" s="149">
        <f t="shared" si="6"/>
        <v>0.5000000000000001</v>
      </c>
      <c r="H37" s="149">
        <f t="shared" si="6"/>
        <v>0.5000000000000001</v>
      </c>
    </row>
    <row r="38" spans="1:8" s="144" customFormat="1" ht="12.75" customHeight="1" hidden="1">
      <c r="A38" s="148"/>
      <c r="B38" s="142" t="s">
        <v>60</v>
      </c>
      <c r="C38" s="150">
        <f>C32+(C9*(1-0.34)/C42)*(C32-C37)</f>
        <v>1.1550105030507678</v>
      </c>
      <c r="D38" s="150">
        <f>D32+(D9*(1-0.34)/D42)*(D32-D37)</f>
        <v>1.1943139304997432</v>
      </c>
      <c r="E38" s="150">
        <f>E32+(E9*(1-0.34)/E42)*(E32-E37)</f>
        <v>1.2694720032218143</v>
      </c>
      <c r="F38" s="150">
        <f>F32+(F9*(1-0.34)/F42)*(F32-F37)</f>
        <v>1.4690266966791377</v>
      </c>
      <c r="G38" s="150">
        <f>G32+(G9*(1-0.34)/G42)*(G32-G37)</f>
        <v>3.5297219329651233</v>
      </c>
      <c r="H38" s="150"/>
    </row>
    <row r="39" spans="1:8" s="92" customFormat="1" ht="12.75" customHeight="1" thickBot="1">
      <c r="A39" s="90">
        <v>24</v>
      </c>
      <c r="B39" s="91" t="s">
        <v>36</v>
      </c>
      <c r="C39" s="112">
        <f>C33+C34*C38</f>
        <v>0.10620042012203071</v>
      </c>
      <c r="D39" s="112">
        <f>D33+D34*D38</f>
        <v>0.10777255721998973</v>
      </c>
      <c r="E39" s="112">
        <f>E33+E34*E38</f>
        <v>0.11077888012887258</v>
      </c>
      <c r="F39" s="112">
        <f>F33+F34*F38</f>
        <v>0.1187610678671655</v>
      </c>
      <c r="G39" s="112">
        <f>G33+G34*G38</f>
        <v>0.20118887731860494</v>
      </c>
      <c r="H39" s="112"/>
    </row>
    <row r="40" spans="1:8" s="92" customFormat="1" ht="12.75" customHeight="1" hidden="1">
      <c r="A40" s="113"/>
      <c r="B40" s="114" t="s">
        <v>61</v>
      </c>
      <c r="C40" s="115"/>
      <c r="D40" s="116">
        <f>(1+C39)</f>
        <v>1.1062004201220308</v>
      </c>
      <c r="E40" s="116">
        <f>(1+D39)*D40</f>
        <v>1.225418468196409</v>
      </c>
      <c r="F40" s="116">
        <f>(1+E39)*E40</f>
        <v>1.3611689537924456</v>
      </c>
      <c r="G40" s="116">
        <f>(1+F39)*F40</f>
        <v>1.522822832292469</v>
      </c>
      <c r="H40" s="116">
        <f>(1+G39)*G40</f>
        <v>1.8291978482765292</v>
      </c>
    </row>
    <row r="41" spans="1:8" s="92" customFormat="1" ht="12.75" customHeight="1" hidden="1" thickBot="1">
      <c r="A41" s="113"/>
      <c r="B41" s="114" t="s">
        <v>62</v>
      </c>
      <c r="C41" s="115"/>
      <c r="D41" s="117">
        <f>D25/D40</f>
        <v>2374.593319816518</v>
      </c>
      <c r="E41" s="117">
        <f>E25/E40</f>
        <v>2143.5747837766244</v>
      </c>
      <c r="F41" s="117">
        <f>F25/F40</f>
        <v>1929.7943291178954</v>
      </c>
      <c r="G41" s="117">
        <f>G25/G40</f>
        <v>1724.9387599775025</v>
      </c>
      <c r="H41" s="117">
        <f>H25/H40</f>
        <v>342.6508119887352</v>
      </c>
    </row>
    <row r="42" spans="1:8" s="92" customFormat="1" ht="12.75" customHeight="1" thickBot="1">
      <c r="A42" s="90">
        <v>25</v>
      </c>
      <c r="B42" s="118" t="s">
        <v>47</v>
      </c>
      <c r="C42" s="119">
        <f>SUM(D41:H41)</f>
        <v>8515.552004677276</v>
      </c>
      <c r="D42" s="119">
        <f>C42*(1+C39)-D25</f>
        <v>6793.131077145004</v>
      </c>
      <c r="E42" s="119">
        <f>D42*(1+D39)-E25</f>
        <v>4898.468056859505</v>
      </c>
      <c r="F42" s="119">
        <f>E42*(1+E39)-F25</f>
        <v>2814.3387345454553</v>
      </c>
      <c r="G42" s="119">
        <f>F42*(1+F39)-G25</f>
        <v>521.7964800000009</v>
      </c>
      <c r="H42" s="120">
        <f>G42*(1+G39)-H25</f>
        <v>1.0231815394945443E-12</v>
      </c>
    </row>
    <row r="43" spans="1:8" s="92" customFormat="1" ht="12.75" customHeight="1">
      <c r="A43" s="90"/>
      <c r="B43" s="121"/>
      <c r="C43" s="95"/>
      <c r="D43" s="95"/>
      <c r="E43" s="95"/>
      <c r="F43" s="95"/>
      <c r="G43" s="95"/>
      <c r="H43" s="95"/>
    </row>
    <row r="44" spans="1:8" s="92" customFormat="1" ht="12.75" customHeight="1">
      <c r="A44" s="90">
        <v>26</v>
      </c>
      <c r="B44" s="91" t="s">
        <v>37</v>
      </c>
      <c r="C44" s="122">
        <f>(C42*C39+C36*C9*(1-0.34))/(C9+C42)</f>
        <v>0.08913351964426541</v>
      </c>
      <c r="D44" s="122">
        <f>(D42*D39+D36*D9*(1-0.34))/(D9+D42)</f>
        <v>0.0873993932781946</v>
      </c>
      <c r="E44" s="122">
        <f>(E42*E39+E36*E9*(1-0.34))/(E9+E42)</f>
        <v>0.08471647039344456</v>
      </c>
      <c r="F44" s="122">
        <f>(F42*F39+F36*F9*(1-0.34))/(F9+F42)</f>
        <v>0.08004208400874692</v>
      </c>
      <c r="G44" s="122">
        <f>(G42*G39+G36*G9*(1-0.34))/(G9+G42)</f>
        <v>0.06992345838616779</v>
      </c>
      <c r="H44" s="122"/>
    </row>
    <row r="45" spans="1:8" s="144" customFormat="1" ht="12.75" customHeight="1" hidden="1">
      <c r="A45" s="148"/>
      <c r="B45" s="151" t="s">
        <v>63</v>
      </c>
      <c r="C45" s="152"/>
      <c r="D45" s="153">
        <f>(1+C44)</f>
        <v>1.0891335196442653</v>
      </c>
      <c r="E45" s="153">
        <f>(1+D44)*D45</f>
        <v>1.1843231284601188</v>
      </c>
      <c r="F45" s="153">
        <f>(1+E44)*E45</f>
        <v>1.284654803708582</v>
      </c>
      <c r="G45" s="153">
        <f>(1+F44)*F45</f>
        <v>1.387481251429265</v>
      </c>
      <c r="H45" s="153">
        <f>(1+G44)*G45</f>
        <v>1.4844987389751672</v>
      </c>
    </row>
    <row r="46" spans="1:8" s="144" customFormat="1" ht="12.75" customHeight="1" hidden="1">
      <c r="A46" s="148"/>
      <c r="B46" s="151" t="s">
        <v>64</v>
      </c>
      <c r="C46" s="152"/>
      <c r="D46" s="154">
        <f>D26/D45</f>
        <v>2605.7192041311378</v>
      </c>
      <c r="E46" s="154">
        <f>E26/E45</f>
        <v>2396.2853209579675</v>
      </c>
      <c r="F46" s="154">
        <f>F26/F45</f>
        <v>2209.1351854266536</v>
      </c>
      <c r="G46" s="154">
        <f>G26/G45</f>
        <v>2045.4158390079567</v>
      </c>
      <c r="H46" s="154">
        <f>H26/H45</f>
        <v>3258.9964551535604</v>
      </c>
    </row>
    <row r="47" spans="1:8" s="144" customFormat="1" ht="12.75" customHeight="1" hidden="1">
      <c r="A47" s="148"/>
      <c r="B47" s="155" t="s">
        <v>65</v>
      </c>
      <c r="C47" s="156">
        <f>SUM(D46:H46)</f>
        <v>12515.552004677276</v>
      </c>
      <c r="D47" s="156">
        <f>C47*(1+C44)-D26</f>
        <v>10793.131077145003</v>
      </c>
      <c r="E47" s="156">
        <f>D47*(1+D44)-E26</f>
        <v>8898.468056859503</v>
      </c>
      <c r="F47" s="156">
        <f>E47*(1+E44)-F26</f>
        <v>6814.338734545454</v>
      </c>
      <c r="G47" s="156">
        <f>F47*(1+F44)-G26</f>
        <v>4521.796480000001</v>
      </c>
      <c r="H47" s="156">
        <f>G47*(1+G44)-H26</f>
        <v>0</v>
      </c>
    </row>
    <row r="48" spans="1:8" s="92" customFormat="1" ht="12.75" customHeight="1">
      <c r="A48" s="90">
        <v>27</v>
      </c>
      <c r="B48" s="104" t="s">
        <v>66</v>
      </c>
      <c r="C48" s="105">
        <f aca="true" t="shared" si="7" ref="C48:H48">C47-C9</f>
        <v>8515.552004677276</v>
      </c>
      <c r="D48" s="105">
        <f t="shared" si="7"/>
        <v>6793.131077145003</v>
      </c>
      <c r="E48" s="105">
        <f t="shared" si="7"/>
        <v>4898.468056859503</v>
      </c>
      <c r="F48" s="105">
        <f t="shared" si="7"/>
        <v>2814.338734545454</v>
      </c>
      <c r="G48" s="105">
        <f t="shared" si="7"/>
        <v>521.7964800000009</v>
      </c>
      <c r="H48" s="105">
        <f t="shared" si="7"/>
        <v>0</v>
      </c>
    </row>
    <row r="49" spans="1:8" s="92" customFormat="1" ht="12.75" customHeight="1" thickBot="1">
      <c r="A49" s="90"/>
      <c r="B49" s="114"/>
      <c r="C49" s="114"/>
      <c r="D49" s="123"/>
      <c r="E49" s="123"/>
      <c r="F49" s="123"/>
      <c r="G49" s="123"/>
      <c r="H49" s="123"/>
    </row>
    <row r="50" spans="1:8" s="92" customFormat="1" ht="12.75" customHeight="1" thickBot="1">
      <c r="A50" s="90">
        <v>28</v>
      </c>
      <c r="B50" s="124" t="s">
        <v>23</v>
      </c>
      <c r="C50" s="119">
        <f aca="true" t="shared" si="8" ref="C50:H50">C48-C10</f>
        <v>515.5520046772763</v>
      </c>
      <c r="D50" s="119">
        <f t="shared" si="8"/>
        <v>793.1310771450026</v>
      </c>
      <c r="E50" s="119">
        <f t="shared" si="8"/>
        <v>898.4680568595031</v>
      </c>
      <c r="F50" s="119">
        <f t="shared" si="8"/>
        <v>814.3387345454539</v>
      </c>
      <c r="G50" s="119">
        <f t="shared" si="8"/>
        <v>521.7964800000009</v>
      </c>
      <c r="H50" s="120">
        <f t="shared" si="8"/>
        <v>0</v>
      </c>
    </row>
    <row r="51" spans="1:8" s="92" customFormat="1" ht="12.75" customHeight="1" thickBot="1">
      <c r="A51" s="90"/>
      <c r="B51" s="103"/>
      <c r="C51" s="95"/>
      <c r="D51" s="95"/>
      <c r="E51" s="95"/>
      <c r="F51" s="95"/>
      <c r="G51" s="95"/>
      <c r="H51" s="95"/>
    </row>
    <row r="52" spans="1:8" s="92" customFormat="1" ht="12.75" customHeight="1">
      <c r="A52" s="125">
        <v>29</v>
      </c>
      <c r="B52" s="126" t="s">
        <v>38</v>
      </c>
      <c r="C52" s="127"/>
      <c r="D52" s="128">
        <f>D20-C10*C39</f>
        <v>-222.82723297624568</v>
      </c>
      <c r="E52" s="128">
        <f>E20-D10*D39</f>
        <v>-19.859215319938357</v>
      </c>
      <c r="F52" s="128">
        <f>F20-E10*E39</f>
        <v>183.66060748450968</v>
      </c>
      <c r="G52" s="128">
        <f>G20-F10*F39</f>
        <v>389.25399226566896</v>
      </c>
      <c r="H52" s="129">
        <f>H20-G10*G39</f>
        <v>626.776128</v>
      </c>
    </row>
    <row r="53" spans="1:8" s="92" customFormat="1" ht="12.75" customHeight="1" hidden="1">
      <c r="A53" s="130"/>
      <c r="B53" s="131" t="s">
        <v>67</v>
      </c>
      <c r="C53" s="132"/>
      <c r="D53" s="133">
        <f>D52/D40</f>
        <v>-201.43477522062813</v>
      </c>
      <c r="E53" s="133">
        <f>E52/E40</f>
        <v>-16.206068241461608</v>
      </c>
      <c r="F53" s="133">
        <f>F52/F40</f>
        <v>134.9285898512454</v>
      </c>
      <c r="G53" s="133">
        <f>G52/G40</f>
        <v>255.61344629938534</v>
      </c>
      <c r="H53" s="134">
        <f>H52/H40</f>
        <v>342.6508119887352</v>
      </c>
    </row>
    <row r="54" spans="1:8" s="92" customFormat="1" ht="12.75" customHeight="1" thickBot="1">
      <c r="A54" s="125">
        <v>30</v>
      </c>
      <c r="B54" s="135" t="s">
        <v>39</v>
      </c>
      <c r="C54" s="136">
        <f>SUM(D53:H53)</f>
        <v>515.5520046772763</v>
      </c>
      <c r="D54" s="136">
        <f>C54*(1+C39)-D52</f>
        <v>793.1310771450039</v>
      </c>
      <c r="E54" s="136">
        <f>D54*(1+D39)-E52</f>
        <v>898.4680568595043</v>
      </c>
      <c r="F54" s="136">
        <f>E54*(1+E39)-F52</f>
        <v>814.3387345454546</v>
      </c>
      <c r="G54" s="136">
        <f>F54*(1+F39)-G52</f>
        <v>521.7964800000002</v>
      </c>
      <c r="H54" s="137">
        <f>G54*(1+G39)-H52</f>
        <v>0</v>
      </c>
    </row>
    <row r="55" spans="1:8" s="92" customFormat="1" ht="12.75" customHeight="1" thickBot="1">
      <c r="A55" s="138"/>
      <c r="B55" s="139"/>
      <c r="C55" s="140"/>
      <c r="D55" s="140"/>
      <c r="E55" s="140"/>
      <c r="F55" s="140"/>
      <c r="G55" s="140"/>
      <c r="H55" s="140"/>
    </row>
    <row r="56" spans="1:8" s="92" customFormat="1" ht="12.75" customHeight="1">
      <c r="A56" s="125">
        <v>31</v>
      </c>
      <c r="B56" s="126" t="s">
        <v>40</v>
      </c>
      <c r="C56" s="127"/>
      <c r="D56" s="128">
        <f>D20+D18*(1-0.34)-(C9+C10)*C44</f>
        <v>-231.6261077311849</v>
      </c>
      <c r="E56" s="128">
        <f>E20+E18*(1-0.34)-(D9+D10)*D44</f>
        <v>-36.01780478194598</v>
      </c>
      <c r="F56" s="128">
        <f>F20+F18*(1-0.34)-(E9+E10)*E44</f>
        <v>160.2443648524436</v>
      </c>
      <c r="G56" s="128">
        <f>G20+G18*(1-0.34)-(F9+F10)*F44</f>
        <v>357.7236239475185</v>
      </c>
      <c r="H56" s="129">
        <f>H20+H18*(1-0.34)-(G9+G10)*G44</f>
        <v>558.2822944553288</v>
      </c>
    </row>
    <row r="57" spans="1:8" s="92" customFormat="1" ht="12.75" customHeight="1" hidden="1">
      <c r="A57" s="125"/>
      <c r="B57" s="131" t="s">
        <v>68</v>
      </c>
      <c r="C57" s="139"/>
      <c r="D57" s="133">
        <f>D56/D45</f>
        <v>-212.67007538877237</v>
      </c>
      <c r="E57" s="133">
        <f>E56/E45</f>
        <v>-30.4121433723726</v>
      </c>
      <c r="F57" s="133">
        <f>F56/F45</f>
        <v>124.73729471126804</v>
      </c>
      <c r="G57" s="133">
        <f>G56/G45</f>
        <v>257.8223118899964</v>
      </c>
      <c r="H57" s="134">
        <f>H56/H45</f>
        <v>376.07461683715707</v>
      </c>
    </row>
    <row r="58" spans="1:8" s="92" customFormat="1" ht="12.75" customHeight="1" thickBot="1">
      <c r="A58" s="125">
        <v>32</v>
      </c>
      <c r="B58" s="135" t="s">
        <v>41</v>
      </c>
      <c r="C58" s="136">
        <f>SUM(D57:H57)</f>
        <v>515.5520046772765</v>
      </c>
      <c r="D58" s="136">
        <f>C58*(1+C44)-D56</f>
        <v>793.1310771450038</v>
      </c>
      <c r="E58" s="136">
        <f>D58*(1+D44)-E56</f>
        <v>898.4680568595041</v>
      </c>
      <c r="F58" s="136">
        <f>E58*(1+E44)-F56</f>
        <v>814.3387345454545</v>
      </c>
      <c r="G58" s="136">
        <f>F58*(1+F44)-G56</f>
        <v>521.79648</v>
      </c>
      <c r="H58" s="137">
        <f>G58*(1+G44)-H56</f>
        <v>0</v>
      </c>
    </row>
    <row r="59" spans="1:8" ht="15">
      <c r="A59" s="11"/>
      <c r="B59" s="12"/>
      <c r="C59" s="13"/>
      <c r="D59" s="13"/>
      <c r="E59" s="13"/>
      <c r="F59" s="13"/>
      <c r="G59" s="13"/>
      <c r="H59" s="13"/>
    </row>
    <row r="60" spans="1:8" ht="15">
      <c r="A60" s="11"/>
      <c r="B60" s="12"/>
      <c r="C60" s="13"/>
      <c r="D60" s="13"/>
      <c r="E60" s="13"/>
      <c r="F60" s="13"/>
      <c r="G60" s="13"/>
      <c r="H60" s="13"/>
    </row>
    <row r="61" spans="1:8" ht="15">
      <c r="A61" s="11"/>
      <c r="B61" s="1" t="s">
        <v>70</v>
      </c>
      <c r="C61" s="13"/>
      <c r="D61" s="13"/>
      <c r="E61" s="13"/>
      <c r="F61" s="13"/>
      <c r="G61" s="13"/>
      <c r="H61" s="13"/>
    </row>
    <row r="62" spans="1:8" ht="7.5" customHeight="1">
      <c r="A62" s="11"/>
      <c r="B62" s="12"/>
      <c r="C62" s="12"/>
      <c r="D62" s="13"/>
      <c r="E62" s="13"/>
      <c r="F62" s="13"/>
      <c r="G62" s="13"/>
      <c r="H62" s="13"/>
    </row>
    <row r="63" spans="1:8" ht="12" customHeight="1">
      <c r="A63" s="11"/>
      <c r="B63" s="82" t="s">
        <v>51</v>
      </c>
      <c r="C63" s="3">
        <v>0</v>
      </c>
      <c r="D63" s="3">
        <v>1</v>
      </c>
      <c r="E63" s="3">
        <f>D63+1</f>
        <v>2</v>
      </c>
      <c r="F63" s="3">
        <f>E63+1</f>
        <v>3</v>
      </c>
      <c r="G63" s="3">
        <f>F63+1</f>
        <v>4</v>
      </c>
      <c r="H63" s="3">
        <f>G63+1</f>
        <v>5</v>
      </c>
    </row>
    <row r="64" spans="1:8" ht="12" customHeight="1">
      <c r="A64" s="9"/>
      <c r="B64" s="12" t="s">
        <v>25</v>
      </c>
      <c r="C64" s="12"/>
      <c r="D64" s="83">
        <f>D20+D18*(1-0.34)</f>
        <v>837.976128</v>
      </c>
      <c r="E64" s="83">
        <f>E20+E18*(1-0.34)</f>
        <v>837.976128</v>
      </c>
      <c r="F64" s="83">
        <f>F20+F18*(1-0.34)</f>
        <v>837.976128</v>
      </c>
      <c r="G64" s="83">
        <f>G20+G18*(1-0.34)</f>
        <v>837.976128</v>
      </c>
      <c r="H64" s="83">
        <f>H20+H18*(1-0.34)</f>
        <v>837.976128</v>
      </c>
    </row>
    <row r="65" spans="1:8" ht="12" customHeight="1">
      <c r="A65" s="2"/>
      <c r="B65" s="4" t="s">
        <v>18</v>
      </c>
      <c r="C65" s="12"/>
      <c r="D65" s="81">
        <f>D17</f>
        <v>2000</v>
      </c>
      <c r="E65" s="81">
        <f>E17</f>
        <v>2000</v>
      </c>
      <c r="F65" s="81">
        <f>F17</f>
        <v>2000</v>
      </c>
      <c r="G65" s="81">
        <f>G17</f>
        <v>2000</v>
      </c>
      <c r="H65" s="81">
        <f>H17</f>
        <v>2000</v>
      </c>
    </row>
    <row r="66" spans="1:8" ht="12" customHeight="1">
      <c r="A66" s="2"/>
      <c r="B66" s="4" t="s">
        <v>42</v>
      </c>
      <c r="C66" s="12"/>
      <c r="D66" s="84">
        <v>1711.7565</v>
      </c>
      <c r="E66" s="84">
        <v>1711.7565</v>
      </c>
      <c r="F66" s="84">
        <v>1711.7565</v>
      </c>
      <c r="G66" s="84">
        <v>1711.7565</v>
      </c>
      <c r="H66" s="84">
        <v>1711.7565</v>
      </c>
    </row>
    <row r="67" spans="1:8" ht="12" customHeight="1">
      <c r="A67" s="2"/>
      <c r="B67" s="4" t="s">
        <v>26</v>
      </c>
      <c r="C67" s="12"/>
      <c r="D67" s="81">
        <f>D75</f>
        <v>1069.602235731185</v>
      </c>
      <c r="E67" s="81">
        <f>E75</f>
        <v>1048.7927193383352</v>
      </c>
      <c r="F67" s="81">
        <f>F75</f>
        <v>1016.5976447213346</v>
      </c>
      <c r="G67" s="81">
        <f>G75</f>
        <v>960.505008104963</v>
      </c>
      <c r="H67" s="81">
        <f>H75</f>
        <v>839.0815006340134</v>
      </c>
    </row>
    <row r="68" spans="1:8" ht="12" customHeight="1" thickBot="1">
      <c r="A68" s="2"/>
      <c r="B68" s="85" t="s">
        <v>27</v>
      </c>
      <c r="C68" s="86"/>
      <c r="D68" s="10">
        <f>D64+D65-D66-D67</f>
        <v>56.617392268815365</v>
      </c>
      <c r="E68" s="10">
        <f>E64+E65-E66-E67</f>
        <v>77.42690866166504</v>
      </c>
      <c r="F68" s="10">
        <f>F64+F65-F66-F67</f>
        <v>109.62198327866565</v>
      </c>
      <c r="G68" s="10">
        <f>G64+G65-G66-G67</f>
        <v>165.71461989503723</v>
      </c>
      <c r="H68" s="10">
        <f>H64+H65-H66-H67</f>
        <v>287.13812736598686</v>
      </c>
    </row>
    <row r="69" spans="1:8" ht="15.75" hidden="1" thickBot="1">
      <c r="A69" s="2"/>
      <c r="B69" s="6" t="s">
        <v>69</v>
      </c>
      <c r="C69" s="12"/>
      <c r="D69" s="87">
        <f>D68/D45</f>
        <v>51.983885582098175</v>
      </c>
      <c r="E69" s="87">
        <f>E68/E45</f>
        <v>65.37650646267214</v>
      </c>
      <c r="F69" s="87">
        <f>F68/F45</f>
        <v>85.33185954873282</v>
      </c>
      <c r="G69" s="87">
        <f>G68/G45</f>
        <v>119.43557415592618</v>
      </c>
      <c r="H69" s="87">
        <f>H68/H45</f>
        <v>193.42429860480343</v>
      </c>
    </row>
    <row r="70" spans="1:8" ht="15.75" thickBot="1">
      <c r="A70" s="2"/>
      <c r="B70" s="7" t="s">
        <v>43</v>
      </c>
      <c r="C70" s="8">
        <f>SUM(D69:H69)</f>
        <v>515.5521243542328</v>
      </c>
      <c r="D70" s="4"/>
      <c r="E70" s="4"/>
      <c r="F70" s="4"/>
      <c r="G70" s="4"/>
      <c r="H70" s="4"/>
    </row>
    <row r="71" spans="1:8" ht="15">
      <c r="A71" s="2"/>
      <c r="B71" s="4"/>
      <c r="C71" s="4"/>
      <c r="D71" s="4"/>
      <c r="E71" s="4"/>
      <c r="F71" s="4"/>
      <c r="G71" s="4"/>
      <c r="H71" s="4"/>
    </row>
    <row r="72" spans="1:8" ht="15">
      <c r="A72" s="2"/>
      <c r="B72" s="4"/>
      <c r="C72" s="4"/>
      <c r="D72" s="4"/>
      <c r="E72" s="4"/>
      <c r="F72" s="4"/>
      <c r="G72" s="4"/>
      <c r="H72" s="4"/>
    </row>
    <row r="73" spans="1:8" ht="15">
      <c r="A73" s="11"/>
      <c r="B73" s="13" t="s">
        <v>54</v>
      </c>
      <c r="C73" s="5">
        <f>C9+C10</f>
        <v>12000</v>
      </c>
      <c r="D73" s="5">
        <f>C73</f>
        <v>12000</v>
      </c>
      <c r="E73" s="5">
        <f>D73</f>
        <v>12000</v>
      </c>
      <c r="F73" s="5">
        <f>E73</f>
        <v>12000</v>
      </c>
      <c r="G73" s="5">
        <f>F73</f>
        <v>12000</v>
      </c>
      <c r="H73" s="5">
        <f>G73</f>
        <v>12000</v>
      </c>
    </row>
    <row r="74" spans="1:8" ht="15">
      <c r="A74" s="11"/>
      <c r="B74" s="13" t="s">
        <v>37</v>
      </c>
      <c r="C74" s="12"/>
      <c r="D74" s="76">
        <f>C44</f>
        <v>0.08913351964426541</v>
      </c>
      <c r="E74" s="76">
        <f>D44</f>
        <v>0.0873993932781946</v>
      </c>
      <c r="F74" s="76">
        <f>E44</f>
        <v>0.08471647039344456</v>
      </c>
      <c r="G74" s="76">
        <f>F44</f>
        <v>0.08004208400874692</v>
      </c>
      <c r="H74" s="76">
        <f>G44</f>
        <v>0.06992345838616779</v>
      </c>
    </row>
    <row r="75" spans="1:8" ht="15.75" thickBot="1">
      <c r="A75" s="11"/>
      <c r="B75" s="89" t="s">
        <v>53</v>
      </c>
      <c r="C75" s="86"/>
      <c r="D75" s="88">
        <f>D73*D74</f>
        <v>1069.602235731185</v>
      </c>
      <c r="E75" s="88">
        <f>E73*E74</f>
        <v>1048.7927193383352</v>
      </c>
      <c r="F75" s="88">
        <f>F73*F74</f>
        <v>1016.5976447213346</v>
      </c>
      <c r="G75" s="88">
        <f>G73*G74</f>
        <v>960.505008104963</v>
      </c>
      <c r="H75" s="88">
        <f>H73*H74</f>
        <v>839.0815006340134</v>
      </c>
    </row>
    <row r="76" spans="1:8" ht="15">
      <c r="A76" s="61"/>
      <c r="B76" s="60"/>
      <c r="C76" s="60"/>
      <c r="D76" s="59"/>
      <c r="E76" s="59"/>
      <c r="F76" s="59"/>
      <c r="G76" s="59"/>
      <c r="H76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Linares Salazar, Pablo</dc:creator>
  <cp:keywords/>
  <dc:description/>
  <cp:lastModifiedBy>Pablo Fernandez</cp:lastModifiedBy>
  <dcterms:created xsi:type="dcterms:W3CDTF">2013-10-08T10:11:17Z</dcterms:created>
  <dcterms:modified xsi:type="dcterms:W3CDTF">2019-05-25T20:32:12Z</dcterms:modified>
  <cp:category/>
  <cp:version/>
  <cp:contentType/>
  <cp:contentStatus/>
</cp:coreProperties>
</file>