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9180" windowHeight="10320" activeTab="0"/>
  </bookViews>
  <sheets>
    <sheet name="Ch2Tables1-5" sheetId="1" r:id="rId1"/>
    <sheet name="Ch2Tables6-8" sheetId="2" r:id="rId2"/>
  </sheets>
  <definedNames>
    <definedName name="_xlnm.Print_Area">'Ch2Tables1-5'!$B$1:$I$88</definedName>
  </definedNames>
  <calcPr fullCalcOnLoad="1"/>
</workbook>
</file>

<file path=xl/sharedStrings.xml><?xml version="1.0" encoding="utf-8"?>
<sst xmlns="http://schemas.openxmlformats.org/spreadsheetml/2006/main" count="127" uniqueCount="107">
  <si>
    <t xml:space="preserve">  Income Statements </t>
  </si>
  <si>
    <t>Sales</t>
  </si>
  <si>
    <t>Cost of sales</t>
  </si>
  <si>
    <t>Initial Stock</t>
  </si>
  <si>
    <t>+</t>
  </si>
  <si>
    <t>Purchases</t>
  </si>
  <si>
    <t>-</t>
  </si>
  <si>
    <t>Final Stock</t>
  </si>
  <si>
    <t>Gross margin</t>
  </si>
  <si>
    <t>Personnel expenses</t>
  </si>
  <si>
    <t>Depreciation</t>
  </si>
  <si>
    <t>Other expenses</t>
  </si>
  <si>
    <t>Total expenses</t>
  </si>
  <si>
    <t>Interest</t>
  </si>
  <si>
    <t>Extraordinary profit (disposal of fixed assets)</t>
  </si>
  <si>
    <t>PBT</t>
  </si>
  <si>
    <t>Taxes (30%)</t>
  </si>
  <si>
    <t>Profit after tax</t>
  </si>
  <si>
    <t xml:space="preserve">  Balance Sheets </t>
  </si>
  <si>
    <t>Cash and temporary investments</t>
  </si>
  <si>
    <t>Accounts receivable</t>
  </si>
  <si>
    <t>Inventories</t>
  </si>
  <si>
    <t>Short-term assets</t>
  </si>
  <si>
    <t xml:space="preserve">    Gross fixed assets (original cost)</t>
  </si>
  <si>
    <t xml:space="preserve">    Accumulated depreciation</t>
  </si>
  <si>
    <t>Net fixed assets</t>
  </si>
  <si>
    <t>Total assets</t>
  </si>
  <si>
    <t>Banks. Short-term debt</t>
  </si>
  <si>
    <t>Taxes payable</t>
  </si>
  <si>
    <t>Other expenses payable</t>
  </si>
  <si>
    <t>Accounts payable</t>
  </si>
  <si>
    <t>Short-term liabilities</t>
  </si>
  <si>
    <t>Long-term debt</t>
  </si>
  <si>
    <t>Shareholders’ equity</t>
  </si>
  <si>
    <t>Total liabilities and shareholders’ equity</t>
  </si>
  <si>
    <t xml:space="preserve">Cash flow </t>
  </si>
  <si>
    <t xml:space="preserve"> + depreciation</t>
  </si>
  <si>
    <t xml:space="preserve"> - purchase of fixed assets</t>
  </si>
  <si>
    <t xml:space="preserve"> + book value of sold assets</t>
  </si>
  <si>
    <t xml:space="preserve"> - increase of WCR</t>
  </si>
  <si>
    <t xml:space="preserve"> + interest x (1 - 30%)</t>
  </si>
  <si>
    <t xml:space="preserve">Free cash flow </t>
  </si>
  <si>
    <t xml:space="preserve"> - interest x (1 - 30%)</t>
  </si>
  <si>
    <t xml:space="preserve"> + increase of short-term financial debt</t>
  </si>
  <si>
    <t xml:space="preserve"> - principal payments of long-term financial debt</t>
  </si>
  <si>
    <t>Equity cash flow (cash reduction)</t>
  </si>
  <si>
    <t xml:space="preserve"> Interest</t>
  </si>
  <si>
    <t xml:space="preserve"> + principal payments of long-term financial debt</t>
  </si>
  <si>
    <t xml:space="preserve"> - increase of short-term financial debt</t>
  </si>
  <si>
    <t>Debt cash flow</t>
  </si>
  <si>
    <t>Capital cash flow</t>
  </si>
  <si>
    <t xml:space="preserve">  Cash inflows and cash outflows</t>
  </si>
  <si>
    <t xml:space="preserve">Cash inflows: collections from clients </t>
  </si>
  <si>
    <t xml:space="preserve">    Cash outflows:</t>
  </si>
  <si>
    <t>Payments to suppliers</t>
  </si>
  <si>
    <t>Labor</t>
  </si>
  <si>
    <t>Interest payments</t>
  </si>
  <si>
    <t>Tax</t>
  </si>
  <si>
    <t>Capital expenditures</t>
  </si>
  <si>
    <t>Total cash outflows</t>
  </si>
  <si>
    <t xml:space="preserve">cash inflows - cash outflows </t>
  </si>
  <si>
    <t xml:space="preserve">   Financing:</t>
  </si>
  <si>
    <t>Increase of short-term debt</t>
  </si>
  <si>
    <t>Reduction of cash</t>
  </si>
  <si>
    <t>Sale of fixed assets</t>
  </si>
  <si>
    <t>Payments of long-term debt</t>
  </si>
  <si>
    <t>Source of funds</t>
  </si>
  <si>
    <t>RATIOS</t>
  </si>
  <si>
    <t>Net income/sales</t>
  </si>
  <si>
    <t>Net income/net worth (mean)</t>
  </si>
  <si>
    <t>Debt ratio</t>
  </si>
  <si>
    <t>Days of debtors (collection period)</t>
  </si>
  <si>
    <t>Days of suppliers (payment period)</t>
  </si>
  <si>
    <t>Days of stock</t>
  </si>
  <si>
    <t>(million dollars)</t>
  </si>
  <si>
    <t>2009: assets with a book value of 15 were written off (gross fixed assets = 25; accumulated depreciation  = 10).</t>
  </si>
  <si>
    <t>2010: at the end of the year, assets with a book value of 28 (gross fixed assets = 40; accumulated depreciation =12) were sold for 60.</t>
  </si>
  <si>
    <t>Cash ratio</t>
  </si>
  <si>
    <t>Sales growth</t>
  </si>
  <si>
    <t>Year</t>
  </si>
  <si>
    <t>Profit before tax (PBT)</t>
  </si>
  <si>
    <t>Profit after tax (PAT)</t>
  </si>
  <si>
    <t>Dividends</t>
  </si>
  <si>
    <t>To reserves</t>
  </si>
  <si>
    <t>Assets</t>
  </si>
  <si>
    <t>Gross fixed assets</t>
  </si>
  <si>
    <t xml:space="preserve">Accumulated depreciation </t>
  </si>
  <si>
    <t>Liabilities</t>
  </si>
  <si>
    <t xml:space="preserve">Long-term financial debt </t>
  </si>
  <si>
    <t>Shareholders’ equity initial</t>
  </si>
  <si>
    <t>Retained earnings</t>
  </si>
  <si>
    <t>Total liabilities</t>
  </si>
  <si>
    <t>Net income (PAT)</t>
  </si>
  <si>
    <t xml:space="preserve"> - Increase in WCR</t>
  </si>
  <si>
    <t xml:space="preserve"> - Increase in fixed assets</t>
  </si>
  <si>
    <t xml:space="preserve"> + Increase in short-term financial debt</t>
  </si>
  <si>
    <t xml:space="preserve"> + Increase in long-term financial debt</t>
  </si>
  <si>
    <t>Equity cash flow</t>
  </si>
  <si>
    <t xml:space="preserve"> - Increase in short-term financial debt</t>
  </si>
  <si>
    <t xml:space="preserve"> - Increase in long-term financial debt</t>
  </si>
  <si>
    <t xml:space="preserve"> + Interest (1-T)</t>
  </si>
  <si>
    <t>Free cash flow</t>
  </si>
  <si>
    <t>Accounting cash flow</t>
  </si>
  <si>
    <t>Short-term financial debt</t>
  </si>
  <si>
    <t>Cash flows</t>
  </si>
  <si>
    <t>Molledo &amp; Co.    Year</t>
  </si>
  <si>
    <t>AlphaCommerce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</si>
</sst>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0" xfId="0" applyNumberFormat="1" applyFont="1" applyAlignment="1">
      <alignment/>
    </xf>
    <xf numFmtId="0" fontId="44" fillId="0" borderId="1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8" xfId="0" applyFont="1" applyBorder="1" applyAlignment="1">
      <alignment horizontal="right" vertical="center" wrapText="1"/>
    </xf>
    <xf numFmtId="3" fontId="44" fillId="0" borderId="19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3" fontId="44" fillId="0" borderId="20" xfId="0" applyNumberFormat="1" applyFont="1" applyBorder="1" applyAlignment="1">
      <alignment horizontal="right" vertical="center" wrapText="1"/>
    </xf>
    <xf numFmtId="3" fontId="44" fillId="0" borderId="21" xfId="0" applyNumberFormat="1" applyFont="1" applyBorder="1" applyAlignment="1">
      <alignment horizontal="right" vertical="center" wrapText="1"/>
    </xf>
    <xf numFmtId="3" fontId="45" fillId="0" borderId="22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18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vertical="center" wrapText="1"/>
    </xf>
    <xf numFmtId="3" fontId="45" fillId="0" borderId="21" xfId="0" applyNumberFormat="1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vertical="center" wrapText="1"/>
    </xf>
    <xf numFmtId="3" fontId="44" fillId="0" borderId="24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3" fontId="45" fillId="0" borderId="16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3" fontId="45" fillId="0" borderId="19" xfId="0" applyNumberFormat="1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3" fontId="44" fillId="0" borderId="26" xfId="0" applyNumberFormat="1" applyFont="1" applyBorder="1" applyAlignment="1">
      <alignment horizontal="right" vertical="center" wrapText="1"/>
    </xf>
    <xf numFmtId="3" fontId="45" fillId="0" borderId="27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5" fillId="0" borderId="21" xfId="0" applyNumberFormat="1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7" fillId="0" borderId="2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0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181" fontId="5" fillId="0" borderId="22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9"/>
  <sheetViews>
    <sheetView showGridLines="0" tabSelected="1" zoomScalePageLayoutView="0" workbookViewId="0" topLeftCell="A1">
      <pane ySplit="3180" topLeftCell="A74" activePane="bottomLeft" state="split"/>
      <selection pane="topLeft" activeCell="H2" sqref="H2"/>
      <selection pane="bottomLeft" activeCell="C95" sqref="C95"/>
    </sheetView>
  </sheetViews>
  <sheetFormatPr defaultColWidth="12.375" defaultRowHeight="12.75"/>
  <cols>
    <col min="1" max="1" width="8.375" style="3" customWidth="1"/>
    <col min="2" max="3" width="8.625" style="3" customWidth="1"/>
    <col min="4" max="4" width="19.375" style="3" customWidth="1"/>
    <col min="5" max="6" width="7.75390625" style="3" customWidth="1"/>
    <col min="7" max="8" width="8.125" style="3" customWidth="1"/>
    <col min="9" max="9" width="7.875" style="14" customWidth="1"/>
    <col min="10" max="255" width="7.25390625" style="3" customWidth="1"/>
    <col min="256" max="16384" width="12.375" style="3" customWidth="1"/>
  </cols>
  <sheetData>
    <row r="1" spans="2:9" ht="12.75">
      <c r="B1" s="47"/>
      <c r="E1" s="48"/>
      <c r="F1" s="48" t="s">
        <v>106</v>
      </c>
      <c r="G1" s="48"/>
      <c r="H1" s="48"/>
      <c r="I1" s="48"/>
    </row>
    <row r="2" spans="2:9" ht="12.75">
      <c r="B2" s="47"/>
      <c r="E2" s="48"/>
      <c r="F2" s="48"/>
      <c r="G2" s="48"/>
      <c r="H2" s="48"/>
      <c r="I2" s="48"/>
    </row>
    <row r="3" spans="2:9" ht="12.75">
      <c r="B3" s="1" t="s">
        <v>74</v>
      </c>
      <c r="C3" s="49"/>
      <c r="D3" s="50"/>
      <c r="E3" s="48"/>
      <c r="F3" s="48"/>
      <c r="G3" s="48"/>
      <c r="H3" s="48"/>
      <c r="I3" s="48"/>
    </row>
    <row r="4" spans="2:9" ht="12.75">
      <c r="B4" s="51" t="s">
        <v>0</v>
      </c>
      <c r="C4" s="49"/>
      <c r="D4" s="49"/>
      <c r="E4" s="52">
        <v>2008</v>
      </c>
      <c r="F4" s="52">
        <v>2009</v>
      </c>
      <c r="G4" s="52">
        <v>2010</v>
      </c>
      <c r="H4" s="52">
        <v>2011</v>
      </c>
      <c r="I4" s="52">
        <v>2012</v>
      </c>
    </row>
    <row r="5" spans="2:9" ht="12.75">
      <c r="B5" s="4" t="s">
        <v>1</v>
      </c>
      <c r="E5" s="41">
        <v>2237</v>
      </c>
      <c r="F5" s="41">
        <v>2694</v>
      </c>
      <c r="G5" s="41">
        <v>3562</v>
      </c>
      <c r="H5" s="41">
        <v>4630</v>
      </c>
      <c r="I5" s="41">
        <v>6019</v>
      </c>
    </row>
    <row r="6" spans="2:9" ht="12.75">
      <c r="B6" s="4" t="s">
        <v>2</v>
      </c>
      <c r="E6" s="41">
        <v>1578</v>
      </c>
      <c r="F6" s="41">
        <v>1861</v>
      </c>
      <c r="G6" s="41">
        <v>2490</v>
      </c>
      <c r="H6" s="41">
        <f>INT(G6/G5*H5)</f>
        <v>3236</v>
      </c>
      <c r="I6" s="41">
        <f>INT(G6/G5*I5)</f>
        <v>4207</v>
      </c>
    </row>
    <row r="7" spans="2:9" ht="12.75">
      <c r="B7" s="4"/>
      <c r="C7" s="3" t="s">
        <v>3</v>
      </c>
      <c r="E7" s="53">
        <v>230</v>
      </c>
      <c r="F7" s="53">
        <f>E9</f>
        <v>371</v>
      </c>
      <c r="G7" s="53">
        <f>F9</f>
        <v>429</v>
      </c>
      <c r="H7" s="53">
        <f>G9</f>
        <v>583</v>
      </c>
      <c r="I7" s="53">
        <f>H9</f>
        <v>744</v>
      </c>
    </row>
    <row r="8" spans="2:9" ht="12.75">
      <c r="B8" s="54" t="s">
        <v>4</v>
      </c>
      <c r="C8" s="3" t="s">
        <v>5</v>
      </c>
      <c r="E8" s="53">
        <v>1719</v>
      </c>
      <c r="F8" s="53">
        <v>1919</v>
      </c>
      <c r="G8" s="53">
        <v>2644</v>
      </c>
      <c r="H8" s="53">
        <f>H9+H6-H7</f>
        <v>3397</v>
      </c>
      <c r="I8" s="53">
        <f>I9+I6-I7</f>
        <v>4431</v>
      </c>
    </row>
    <row r="9" spans="2:9" ht="12.75">
      <c r="B9" s="54" t="s">
        <v>6</v>
      </c>
      <c r="C9" s="3" t="s">
        <v>7</v>
      </c>
      <c r="E9" s="53">
        <f>E7+E8-E6</f>
        <v>371</v>
      </c>
      <c r="F9" s="53">
        <f>F7+F8-F6</f>
        <v>429</v>
      </c>
      <c r="G9" s="53">
        <f>G7+G8-G6</f>
        <v>583</v>
      </c>
      <c r="H9" s="53">
        <v>744</v>
      </c>
      <c r="I9" s="53">
        <v>968</v>
      </c>
    </row>
    <row r="10" spans="2:9" ht="12.75">
      <c r="B10" s="12" t="s">
        <v>8</v>
      </c>
      <c r="C10" s="13"/>
      <c r="D10" s="13"/>
      <c r="E10" s="46">
        <f>E5-E6</f>
        <v>659</v>
      </c>
      <c r="F10" s="46">
        <f>F5-F6</f>
        <v>833</v>
      </c>
      <c r="G10" s="46">
        <f>G5-G6</f>
        <v>1072</v>
      </c>
      <c r="H10" s="46">
        <f>H5-H6</f>
        <v>1394</v>
      </c>
      <c r="I10" s="46">
        <f>I5-I6</f>
        <v>1812</v>
      </c>
    </row>
    <row r="11" spans="2:9" ht="12.75">
      <c r="B11" s="4" t="s">
        <v>9</v>
      </c>
      <c r="E11" s="53">
        <v>424</v>
      </c>
      <c r="F11" s="53">
        <v>511</v>
      </c>
      <c r="G11" s="53">
        <v>679</v>
      </c>
      <c r="H11" s="53">
        <v>882</v>
      </c>
      <c r="I11" s="53">
        <v>1146</v>
      </c>
    </row>
    <row r="12" spans="2:9" ht="12.75">
      <c r="B12" s="4" t="s">
        <v>10</v>
      </c>
      <c r="E12" s="53">
        <v>25</v>
      </c>
      <c r="F12" s="53">
        <v>28</v>
      </c>
      <c r="G12" s="53">
        <v>39</v>
      </c>
      <c r="H12" s="53">
        <f>H29-G29</f>
        <v>34</v>
      </c>
      <c r="I12" s="53">
        <f>I29-H29</f>
        <v>37</v>
      </c>
    </row>
    <row r="13" spans="2:9" ht="12.75">
      <c r="B13" s="4" t="s">
        <v>11</v>
      </c>
      <c r="E13" s="53">
        <v>132</v>
      </c>
      <c r="F13" s="53">
        <v>161</v>
      </c>
      <c r="G13" s="53">
        <v>220</v>
      </c>
      <c r="H13" s="53">
        <v>285</v>
      </c>
      <c r="I13" s="53">
        <v>370</v>
      </c>
    </row>
    <row r="14" spans="2:9" ht="12.75">
      <c r="B14" s="12" t="s">
        <v>12</v>
      </c>
      <c r="C14" s="13"/>
      <c r="D14" s="13"/>
      <c r="E14" s="46">
        <f>E11+E12+E13</f>
        <v>581</v>
      </c>
      <c r="F14" s="46">
        <f>F11+F12+F13</f>
        <v>700</v>
      </c>
      <c r="G14" s="46">
        <f>G11+G12+G13</f>
        <v>938</v>
      </c>
      <c r="H14" s="46">
        <f>H11+H12+H13</f>
        <v>1201</v>
      </c>
      <c r="I14" s="46">
        <f>I11+I12+I13</f>
        <v>1553</v>
      </c>
    </row>
    <row r="15" spans="2:9" ht="12.75">
      <c r="B15" s="4" t="s">
        <v>13</v>
      </c>
      <c r="E15" s="41">
        <v>62</v>
      </c>
      <c r="F15" s="41">
        <v>73</v>
      </c>
      <c r="G15" s="41">
        <v>81</v>
      </c>
      <c r="H15" s="41">
        <v>96</v>
      </c>
      <c r="I15" s="41">
        <v>117</v>
      </c>
    </row>
    <row r="16" spans="2:9" ht="12.75">
      <c r="B16" s="4" t="s">
        <v>14</v>
      </c>
      <c r="E16" s="41"/>
      <c r="F16" s="41">
        <v>-15</v>
      </c>
      <c r="G16" s="41">
        <v>32</v>
      </c>
      <c r="H16" s="41"/>
      <c r="I16" s="41"/>
    </row>
    <row r="17" spans="2:9" ht="12.75">
      <c r="B17" s="4" t="s">
        <v>15</v>
      </c>
      <c r="E17" s="41">
        <f>E10-E14-E15+E16</f>
        <v>16</v>
      </c>
      <c r="F17" s="41">
        <f>F10-F14-F15+F16</f>
        <v>45</v>
      </c>
      <c r="G17" s="41">
        <f>G10-G14-G15+G16</f>
        <v>85</v>
      </c>
      <c r="H17" s="41">
        <f>H10-H14-H15+H16</f>
        <v>97</v>
      </c>
      <c r="I17" s="41">
        <f>I10-I14-I15+I16</f>
        <v>142</v>
      </c>
    </row>
    <row r="18" spans="2:9" ht="12.75">
      <c r="B18" s="4" t="s">
        <v>16</v>
      </c>
      <c r="E18" s="41">
        <f>INT(E17*0.3)</f>
        <v>4</v>
      </c>
      <c r="F18" s="41">
        <f>INT(F17*0.3)</f>
        <v>13</v>
      </c>
      <c r="G18" s="41">
        <f>INT(G17*0.3)</f>
        <v>25</v>
      </c>
      <c r="H18" s="41">
        <f>INT(H17*0.3)</f>
        <v>29</v>
      </c>
      <c r="I18" s="41">
        <f>INT(I17*0.3)</f>
        <v>42</v>
      </c>
    </row>
    <row r="19" spans="2:9" ht="12.75">
      <c r="B19" s="1" t="s">
        <v>17</v>
      </c>
      <c r="C19" s="49"/>
      <c r="D19" s="49"/>
      <c r="E19" s="55">
        <f>E17-E18</f>
        <v>12</v>
      </c>
      <c r="F19" s="55">
        <f>F17-F18</f>
        <v>32</v>
      </c>
      <c r="G19" s="55">
        <f>G17-G18</f>
        <v>60</v>
      </c>
      <c r="H19" s="55">
        <f>H17-H18</f>
        <v>68</v>
      </c>
      <c r="I19" s="55">
        <f>I17-I18</f>
        <v>100</v>
      </c>
    </row>
    <row r="20" spans="2:8" ht="12.75">
      <c r="B20" s="3" t="s">
        <v>75</v>
      </c>
      <c r="E20" s="14"/>
      <c r="F20" s="14"/>
      <c r="G20" s="14"/>
      <c r="H20" s="14"/>
    </row>
    <row r="21" spans="2:8" ht="12.75">
      <c r="B21" s="3" t="s">
        <v>76</v>
      </c>
      <c r="E21" s="14"/>
      <c r="F21" s="14"/>
      <c r="G21" s="14"/>
      <c r="H21" s="14"/>
    </row>
    <row r="22" spans="5:8" ht="12.75">
      <c r="E22" s="14"/>
      <c r="F22" s="14"/>
      <c r="G22" s="14"/>
      <c r="H22" s="14"/>
    </row>
    <row r="23" spans="2:9" ht="12.75">
      <c r="B23" s="51" t="s">
        <v>18</v>
      </c>
      <c r="C23" s="49"/>
      <c r="D23" s="49"/>
      <c r="E23" s="52">
        <v>2008</v>
      </c>
      <c r="F23" s="52">
        <v>2009</v>
      </c>
      <c r="G23" s="52">
        <v>2010</v>
      </c>
      <c r="H23" s="52">
        <v>2011</v>
      </c>
      <c r="I23" s="52">
        <v>2012</v>
      </c>
    </row>
    <row r="24" spans="2:9" ht="12.75">
      <c r="B24" s="4" t="s">
        <v>19</v>
      </c>
      <c r="E24" s="41">
        <v>32</v>
      </c>
      <c r="F24" s="41">
        <v>28</v>
      </c>
      <c r="G24" s="41">
        <v>26</v>
      </c>
      <c r="H24" s="41">
        <v>25</v>
      </c>
      <c r="I24" s="41">
        <v>25</v>
      </c>
    </row>
    <row r="25" spans="2:9" ht="12.75">
      <c r="B25" s="4" t="s">
        <v>20</v>
      </c>
      <c r="E25" s="41">
        <v>281</v>
      </c>
      <c r="F25" s="41">
        <v>329</v>
      </c>
      <c r="G25" s="41">
        <v>439</v>
      </c>
      <c r="H25" s="41">
        <v>570</v>
      </c>
      <c r="I25" s="41">
        <v>742</v>
      </c>
    </row>
    <row r="26" spans="2:9" ht="12.75">
      <c r="B26" s="4" t="s">
        <v>21</v>
      </c>
      <c r="E26" s="41">
        <f>E9</f>
        <v>371</v>
      </c>
      <c r="F26" s="41">
        <f>F9</f>
        <v>429</v>
      </c>
      <c r="G26" s="41">
        <f>G9</f>
        <v>583</v>
      </c>
      <c r="H26" s="41">
        <f>H9</f>
        <v>744</v>
      </c>
      <c r="I26" s="41">
        <f>I9</f>
        <v>968</v>
      </c>
    </row>
    <row r="27" spans="2:9" ht="12.75">
      <c r="B27" s="56" t="s">
        <v>22</v>
      </c>
      <c r="C27" s="49"/>
      <c r="D27" s="49"/>
      <c r="E27" s="57">
        <f>E24+E25+E26</f>
        <v>684</v>
      </c>
      <c r="F27" s="57">
        <f>F24+F25+F26</f>
        <v>786</v>
      </c>
      <c r="G27" s="57">
        <f>G24+G25+G26</f>
        <v>1048</v>
      </c>
      <c r="H27" s="57">
        <f>H24+H25+H26</f>
        <v>1339</v>
      </c>
      <c r="I27" s="57">
        <f>I24+I25+I26</f>
        <v>1735</v>
      </c>
    </row>
    <row r="28" spans="2:9" ht="12.75">
      <c r="B28" s="4" t="s">
        <v>23</v>
      </c>
      <c r="E28" s="41">
        <v>307</v>
      </c>
      <c r="F28" s="41">
        <v>335</v>
      </c>
      <c r="G28" s="41">
        <v>342</v>
      </c>
      <c r="H28" s="41">
        <v>375</v>
      </c>
      <c r="I28" s="41">
        <f>H28+35</f>
        <v>410</v>
      </c>
    </row>
    <row r="29" spans="2:9" ht="12.75">
      <c r="B29" s="58" t="s">
        <v>24</v>
      </c>
      <c r="E29" s="41">
        <v>50</v>
      </c>
      <c r="F29" s="41">
        <f>E29+F12-10</f>
        <v>68</v>
      </c>
      <c r="G29" s="41">
        <f>F29+G12-12</f>
        <v>95</v>
      </c>
      <c r="H29" s="41">
        <v>129</v>
      </c>
      <c r="I29" s="41">
        <v>166</v>
      </c>
    </row>
    <row r="30" spans="2:9" ht="12.75">
      <c r="B30" s="58" t="s">
        <v>25</v>
      </c>
      <c r="C30" s="59"/>
      <c r="D30" s="59"/>
      <c r="E30" s="60">
        <f>E28-E29</f>
        <v>257</v>
      </c>
      <c r="F30" s="60">
        <f>F28-F29</f>
        <v>267</v>
      </c>
      <c r="G30" s="60">
        <f>G28-G29</f>
        <v>247</v>
      </c>
      <c r="H30" s="60">
        <f>H28-H29</f>
        <v>246</v>
      </c>
      <c r="I30" s="60">
        <f>I28-I29</f>
        <v>244</v>
      </c>
    </row>
    <row r="31" spans="2:9" ht="12.75">
      <c r="B31" s="1" t="s">
        <v>26</v>
      </c>
      <c r="C31" s="49"/>
      <c r="D31" s="49"/>
      <c r="E31" s="61">
        <f>E27+E30</f>
        <v>941</v>
      </c>
      <c r="F31" s="61">
        <f>F27+F30</f>
        <v>1053</v>
      </c>
      <c r="G31" s="61">
        <f>G27+G30</f>
        <v>1295</v>
      </c>
      <c r="H31" s="61">
        <f>H27+H30</f>
        <v>1585</v>
      </c>
      <c r="I31" s="61">
        <f>I27+I30</f>
        <v>1979</v>
      </c>
    </row>
    <row r="32" spans="5:8" ht="12.75">
      <c r="E32" s="14"/>
      <c r="F32" s="14"/>
      <c r="G32" s="14"/>
      <c r="H32" s="14"/>
    </row>
    <row r="33" spans="2:9" ht="12.75">
      <c r="B33" s="62" t="s">
        <v>27</v>
      </c>
      <c r="C33" s="63"/>
      <c r="D33" s="63"/>
      <c r="E33" s="43">
        <f>E31-E34-E35-E36-E38-E39</f>
        <v>402</v>
      </c>
      <c r="F33" s="43">
        <f>F31-F34-F35-F36-F38-F39</f>
        <v>462</v>
      </c>
      <c r="G33" s="43">
        <f>G31-G34-G35-G36-G38-G39</f>
        <v>547</v>
      </c>
      <c r="H33" s="43">
        <f>H31-H34-H35-H36-H38-H39</f>
        <v>697</v>
      </c>
      <c r="I33" s="43">
        <f>I31-I34-I35-I36-I38-I39</f>
        <v>867</v>
      </c>
    </row>
    <row r="34" spans="2:9" ht="12.75">
      <c r="B34" s="4" t="s">
        <v>28</v>
      </c>
      <c r="E34" s="41">
        <f>INT(E18/2)</f>
        <v>2</v>
      </c>
      <c r="F34" s="41">
        <f>INT(F18/2)</f>
        <v>6</v>
      </c>
      <c r="G34" s="41">
        <f>INT(G18/2)</f>
        <v>12</v>
      </c>
      <c r="H34" s="41">
        <f>INT(H18/2)</f>
        <v>14</v>
      </c>
      <c r="I34" s="41">
        <f>INT(I18/2)</f>
        <v>21</v>
      </c>
    </row>
    <row r="35" spans="2:9" ht="12.75">
      <c r="B35" s="4" t="s">
        <v>29</v>
      </c>
      <c r="E35" s="41">
        <f>INT(E13/6)</f>
        <v>22</v>
      </c>
      <c r="F35" s="41">
        <f>INT(F13/6)</f>
        <v>26</v>
      </c>
      <c r="G35" s="41">
        <f>INT(G13/6)</f>
        <v>36</v>
      </c>
      <c r="H35" s="41">
        <f>INT(H13/6)</f>
        <v>47</v>
      </c>
      <c r="I35" s="41">
        <f>INT(I13/6)</f>
        <v>61</v>
      </c>
    </row>
    <row r="36" spans="2:9" ht="12.75">
      <c r="B36" s="4" t="s">
        <v>30</v>
      </c>
      <c r="E36" s="41">
        <v>190</v>
      </c>
      <c r="F36" s="41">
        <v>212</v>
      </c>
      <c r="G36" s="41">
        <v>303</v>
      </c>
      <c r="H36" s="41">
        <v>372</v>
      </c>
      <c r="I36" s="41">
        <v>485</v>
      </c>
    </row>
    <row r="37" spans="2:9" ht="12.75">
      <c r="B37" s="56" t="s">
        <v>31</v>
      </c>
      <c r="C37" s="49"/>
      <c r="D37" s="49"/>
      <c r="E37" s="57">
        <f>E33+E34+E35+E36</f>
        <v>616</v>
      </c>
      <c r="F37" s="57">
        <f>F33+F34+F35+F36</f>
        <v>706</v>
      </c>
      <c r="G37" s="57">
        <f>G33+G34+G35+G36</f>
        <v>898</v>
      </c>
      <c r="H37" s="57">
        <f>H33+H34+H35+H36</f>
        <v>1130</v>
      </c>
      <c r="I37" s="57">
        <f>I33+I34+I35+I36</f>
        <v>1434</v>
      </c>
    </row>
    <row r="38" spans="2:9" ht="12.75">
      <c r="B38" s="4" t="s">
        <v>32</v>
      </c>
      <c r="E38" s="41">
        <v>95</v>
      </c>
      <c r="F38" s="41">
        <f>E38-10</f>
        <v>85</v>
      </c>
      <c r="G38" s="41">
        <f>F38-10</f>
        <v>75</v>
      </c>
      <c r="H38" s="41">
        <f>G38-10</f>
        <v>65</v>
      </c>
      <c r="I38" s="41">
        <f>H38-10</f>
        <v>55</v>
      </c>
    </row>
    <row r="39" spans="2:9" ht="12.75">
      <c r="B39" s="4" t="s">
        <v>33</v>
      </c>
      <c r="E39" s="41">
        <v>230</v>
      </c>
      <c r="F39" s="41">
        <f>E39+F19</f>
        <v>262</v>
      </c>
      <c r="G39" s="41">
        <f>F39+G19</f>
        <v>322</v>
      </c>
      <c r="H39" s="41">
        <f>G39+H19</f>
        <v>390</v>
      </c>
      <c r="I39" s="41">
        <f>H39+I19</f>
        <v>490</v>
      </c>
    </row>
    <row r="40" spans="2:9" ht="12.75">
      <c r="B40" s="1" t="s">
        <v>34</v>
      </c>
      <c r="C40" s="49"/>
      <c r="D40" s="49"/>
      <c r="E40" s="61">
        <f>E37+E38+E39</f>
        <v>941</v>
      </c>
      <c r="F40" s="61">
        <f>F37+F38+F39</f>
        <v>1053</v>
      </c>
      <c r="G40" s="61">
        <f>G37+G38+G39</f>
        <v>1295</v>
      </c>
      <c r="H40" s="61">
        <f>H37+H38+H39</f>
        <v>1585</v>
      </c>
      <c r="I40" s="61">
        <f>I37+I38+I39</f>
        <v>1979</v>
      </c>
    </row>
    <row r="41" spans="2:9" ht="12.75">
      <c r="B41" s="10"/>
      <c r="C41" s="5"/>
      <c r="D41" s="5"/>
      <c r="E41" s="11"/>
      <c r="F41" s="11"/>
      <c r="G41" s="11"/>
      <c r="H41" s="11"/>
      <c r="I41" s="11"/>
    </row>
    <row r="42" spans="2:9" ht="12.75">
      <c r="B42" s="1" t="s">
        <v>35</v>
      </c>
      <c r="C42" s="49"/>
      <c r="D42" s="49"/>
      <c r="E42" s="76"/>
      <c r="F42" s="70">
        <v>2009</v>
      </c>
      <c r="G42" s="52">
        <v>2010</v>
      </c>
      <c r="H42" s="52">
        <v>2011</v>
      </c>
      <c r="I42" s="52">
        <v>2012</v>
      </c>
    </row>
    <row r="43" spans="2:9" ht="12.75">
      <c r="B43" s="10" t="s">
        <v>17</v>
      </c>
      <c r="C43" s="5"/>
      <c r="D43" s="5"/>
      <c r="E43" s="11"/>
      <c r="F43" s="10">
        <f>F19</f>
        <v>32</v>
      </c>
      <c r="G43" s="10">
        <f>G19</f>
        <v>60</v>
      </c>
      <c r="H43" s="10">
        <f>H19</f>
        <v>68</v>
      </c>
      <c r="I43" s="10">
        <f>I19</f>
        <v>100</v>
      </c>
    </row>
    <row r="44" spans="2:9" ht="12.75">
      <c r="B44" s="5" t="s">
        <v>36</v>
      </c>
      <c r="C44" s="5"/>
      <c r="D44" s="5"/>
      <c r="E44" s="6"/>
      <c r="F44" s="6">
        <f>F12</f>
        <v>28</v>
      </c>
      <c r="G44" s="6">
        <f>G12</f>
        <v>39</v>
      </c>
      <c r="H44" s="6">
        <f>H12</f>
        <v>34</v>
      </c>
      <c r="I44" s="6">
        <f>I12</f>
        <v>37</v>
      </c>
    </row>
    <row r="45" spans="2:9" ht="12.75">
      <c r="B45" s="5" t="s">
        <v>37</v>
      </c>
      <c r="C45" s="5"/>
      <c r="D45" s="5"/>
      <c r="E45" s="6"/>
      <c r="F45" s="6">
        <f>F69</f>
        <v>53</v>
      </c>
      <c r="G45" s="6">
        <f>G69</f>
        <v>47</v>
      </c>
      <c r="H45" s="6">
        <f>H69</f>
        <v>33</v>
      </c>
      <c r="I45" s="6">
        <f>I69</f>
        <v>35</v>
      </c>
    </row>
    <row r="46" spans="2:9" ht="12.75">
      <c r="B46" s="5" t="s">
        <v>38</v>
      </c>
      <c r="C46" s="5"/>
      <c r="D46" s="5"/>
      <c r="E46" s="6"/>
      <c r="F46" s="6">
        <v>15</v>
      </c>
      <c r="G46" s="6">
        <v>28</v>
      </c>
      <c r="H46" s="6"/>
      <c r="I46" s="6"/>
    </row>
    <row r="47" spans="2:9" ht="12.75">
      <c r="B47" s="5" t="s">
        <v>39</v>
      </c>
      <c r="C47" s="5"/>
      <c r="D47" s="5"/>
      <c r="E47" s="6"/>
      <c r="F47" s="6">
        <f>(F25+F26-F34-F35-F36)-(E25+E26-E34-E35-E36)</f>
        <v>76</v>
      </c>
      <c r="G47" s="6">
        <f>(G25+G26-G34-G35-G36)-(F25+F26-F34-F35-F36)</f>
        <v>157</v>
      </c>
      <c r="H47" s="6">
        <f>(H25+H26-H34-H35-H36)-(G25+G26-G34-G35-G36)</f>
        <v>210</v>
      </c>
      <c r="I47" s="6">
        <f>(I25+I26-I34-I35-I36)-(H25+H26-H34-H35-H36)</f>
        <v>262</v>
      </c>
    </row>
    <row r="48" spans="2:9" ht="13.5" thickBot="1">
      <c r="B48" s="5" t="s">
        <v>40</v>
      </c>
      <c r="C48" s="5"/>
      <c r="D48" s="5"/>
      <c r="E48" s="6"/>
      <c r="F48" s="6">
        <f>F15*0.7</f>
        <v>51.099999999999994</v>
      </c>
      <c r="G48" s="6">
        <f>G15*0.7</f>
        <v>56.699999999999996</v>
      </c>
      <c r="H48" s="6">
        <f>H15*0.7</f>
        <v>67.19999999999999</v>
      </c>
      <c r="I48" s="6">
        <f>I15*0.7</f>
        <v>81.89999999999999</v>
      </c>
    </row>
    <row r="49" spans="2:9" ht="13.5" thickBot="1">
      <c r="B49" s="64" t="s">
        <v>41</v>
      </c>
      <c r="C49" s="65"/>
      <c r="D49" s="65"/>
      <c r="E49" s="67"/>
      <c r="F49" s="67">
        <f>F43+F44-F45+F46-F47+F48</f>
        <v>-2.9000000000000057</v>
      </c>
      <c r="G49" s="67">
        <f>G43+G44-G45+G46-G47+G48</f>
        <v>-20.300000000000004</v>
      </c>
      <c r="H49" s="67">
        <f>H43+H44-H45+H46-H47+H48</f>
        <v>-73.80000000000001</v>
      </c>
      <c r="I49" s="66">
        <f>I43+I44-I45+I46-I47+I48</f>
        <v>-78.10000000000001</v>
      </c>
    </row>
    <row r="50" spans="2:9" ht="12.75">
      <c r="B50" s="5" t="s">
        <v>42</v>
      </c>
      <c r="C50" s="5"/>
      <c r="D50" s="5"/>
      <c r="E50" s="6"/>
      <c r="F50" s="6">
        <f>F48</f>
        <v>51.099999999999994</v>
      </c>
      <c r="G50" s="6">
        <f>G48</f>
        <v>56.699999999999996</v>
      </c>
      <c r="H50" s="6">
        <f>H48</f>
        <v>67.19999999999999</v>
      </c>
      <c r="I50" s="6">
        <f>I48</f>
        <v>81.89999999999999</v>
      </c>
    </row>
    <row r="51" spans="2:9" ht="12.75">
      <c r="B51" s="5" t="s">
        <v>43</v>
      </c>
      <c r="C51" s="5"/>
      <c r="D51" s="5"/>
      <c r="E51" s="6"/>
      <c r="F51" s="6">
        <f>F33-E33</f>
        <v>60</v>
      </c>
      <c r="G51" s="6">
        <f>G33-F33</f>
        <v>85</v>
      </c>
      <c r="H51" s="6">
        <f>H33-G33</f>
        <v>150</v>
      </c>
      <c r="I51" s="6">
        <f>I33-H33</f>
        <v>170</v>
      </c>
    </row>
    <row r="52" spans="2:9" ht="13.5" thickBot="1">
      <c r="B52" s="5" t="s">
        <v>44</v>
      </c>
      <c r="C52" s="5"/>
      <c r="D52" s="5"/>
      <c r="E52" s="6"/>
      <c r="F52" s="6">
        <f>E38-F38</f>
        <v>10</v>
      </c>
      <c r="G52" s="6">
        <f>F38-G38</f>
        <v>10</v>
      </c>
      <c r="H52" s="6">
        <f>G38-H38</f>
        <v>10</v>
      </c>
      <c r="I52" s="6">
        <f>H38-I38</f>
        <v>10</v>
      </c>
    </row>
    <row r="53" spans="2:9" ht="13.5" thickBot="1">
      <c r="B53" s="64" t="s">
        <v>45</v>
      </c>
      <c r="C53" s="65"/>
      <c r="D53" s="65"/>
      <c r="E53" s="67"/>
      <c r="F53" s="67">
        <f>F49-F50+F51-F52</f>
        <v>-4</v>
      </c>
      <c r="G53" s="67">
        <f>G49-G50+G51-G52</f>
        <v>-2</v>
      </c>
      <c r="H53" s="67">
        <f>H49-H50+H51-H52</f>
        <v>-1</v>
      </c>
      <c r="I53" s="66">
        <f>I49-I50+I51-I52</f>
        <v>0</v>
      </c>
    </row>
    <row r="54" spans="2:9" ht="12.75">
      <c r="B54" s="5" t="s">
        <v>46</v>
      </c>
      <c r="C54" s="5"/>
      <c r="D54" s="5"/>
      <c r="E54" s="6"/>
      <c r="F54" s="6">
        <f>F15</f>
        <v>73</v>
      </c>
      <c r="G54" s="6">
        <f>G15</f>
        <v>81</v>
      </c>
      <c r="H54" s="6">
        <f>H15</f>
        <v>96</v>
      </c>
      <c r="I54" s="6">
        <f>I15</f>
        <v>117</v>
      </c>
    </row>
    <row r="55" spans="2:9" ht="12.75">
      <c r="B55" s="5" t="s">
        <v>47</v>
      </c>
      <c r="C55" s="5"/>
      <c r="D55" s="5"/>
      <c r="E55" s="6"/>
      <c r="F55" s="6">
        <f>F52</f>
        <v>10</v>
      </c>
      <c r="G55" s="6">
        <f>G52</f>
        <v>10</v>
      </c>
      <c r="H55" s="6">
        <f>H52</f>
        <v>10</v>
      </c>
      <c r="I55" s="6">
        <f>I52</f>
        <v>10</v>
      </c>
    </row>
    <row r="56" spans="2:9" ht="13.5" thickBot="1">
      <c r="B56" s="5" t="s">
        <v>48</v>
      </c>
      <c r="C56" s="5"/>
      <c r="D56" s="5"/>
      <c r="E56" s="6"/>
      <c r="F56" s="6">
        <f>F51</f>
        <v>60</v>
      </c>
      <c r="G56" s="6">
        <f>G51</f>
        <v>85</v>
      </c>
      <c r="H56" s="6">
        <f>H51</f>
        <v>150</v>
      </c>
      <c r="I56" s="6">
        <f>I51</f>
        <v>170</v>
      </c>
    </row>
    <row r="57" spans="2:9" ht="13.5" thickBot="1">
      <c r="B57" s="64" t="s">
        <v>49</v>
      </c>
      <c r="C57" s="65"/>
      <c r="D57" s="65"/>
      <c r="E57" s="67"/>
      <c r="F57" s="67">
        <f>F54+F55-F56</f>
        <v>23</v>
      </c>
      <c r="G57" s="67">
        <f>G54+G55-G56</f>
        <v>6</v>
      </c>
      <c r="H57" s="67">
        <f>H54+H55-H56</f>
        <v>-44</v>
      </c>
      <c r="I57" s="66">
        <f>I54+I55-I56</f>
        <v>-43</v>
      </c>
    </row>
    <row r="58" spans="2:9" ht="13.5" thickBot="1">
      <c r="B58" s="64" t="s">
        <v>50</v>
      </c>
      <c r="C58" s="65"/>
      <c r="D58" s="65"/>
      <c r="E58" s="67"/>
      <c r="F58" s="67">
        <f>F57+F53</f>
        <v>19</v>
      </c>
      <c r="G58" s="67">
        <f>G57+G53</f>
        <v>4</v>
      </c>
      <c r="H58" s="67">
        <f>H57+H53</f>
        <v>-45</v>
      </c>
      <c r="I58" s="66">
        <f>I57+I53</f>
        <v>-43</v>
      </c>
    </row>
    <row r="59" spans="2:9" ht="12.75">
      <c r="B59" s="10"/>
      <c r="C59" s="5"/>
      <c r="D59" s="5"/>
      <c r="E59" s="11"/>
      <c r="F59" s="11"/>
      <c r="G59" s="11"/>
      <c r="H59" s="11"/>
      <c r="I59" s="11"/>
    </row>
    <row r="60" spans="2:9" ht="12.75">
      <c r="B60" s="68"/>
      <c r="E60" s="69"/>
      <c r="F60" s="69"/>
      <c r="G60" s="69"/>
      <c r="H60" s="69"/>
      <c r="I60" s="69"/>
    </row>
    <row r="61" spans="2:9" ht="12.75">
      <c r="B61" s="1" t="s">
        <v>51</v>
      </c>
      <c r="C61" s="49"/>
      <c r="D61" s="49"/>
      <c r="E61" s="70"/>
      <c r="F61" s="52">
        <v>2009</v>
      </c>
      <c r="G61" s="52">
        <v>2010</v>
      </c>
      <c r="H61" s="52">
        <v>2011</v>
      </c>
      <c r="I61" s="52">
        <v>2012</v>
      </c>
    </row>
    <row r="62" spans="2:9" ht="12.75">
      <c r="B62" s="9" t="s">
        <v>52</v>
      </c>
      <c r="E62" s="71"/>
      <c r="F62" s="41">
        <f>F5-F25+E25</f>
        <v>2646</v>
      </c>
      <c r="G62" s="41">
        <f>G5-G25+F25</f>
        <v>3452</v>
      </c>
      <c r="H62" s="41">
        <f>H5-H25+G25</f>
        <v>4499</v>
      </c>
      <c r="I62" s="41">
        <f>I5-I25+H25</f>
        <v>5847</v>
      </c>
    </row>
    <row r="63" spans="2:9" ht="12.75">
      <c r="B63" s="9" t="s">
        <v>53</v>
      </c>
      <c r="E63" s="71"/>
      <c r="F63" s="41"/>
      <c r="G63" s="41"/>
      <c r="H63" s="41"/>
      <c r="I63" s="41"/>
    </row>
    <row r="64" spans="2:9" ht="12.75">
      <c r="B64" s="4" t="s">
        <v>54</v>
      </c>
      <c r="E64" s="71"/>
      <c r="F64" s="41">
        <f>F8-F36+E36</f>
        <v>1897</v>
      </c>
      <c r="G64" s="41">
        <f>G8-G36+F36</f>
        <v>2553</v>
      </c>
      <c r="H64" s="41">
        <f>H8-H36+G36</f>
        <v>3328</v>
      </c>
      <c r="I64" s="41">
        <f>I8-I36+H36</f>
        <v>4318</v>
      </c>
    </row>
    <row r="65" spans="2:9" ht="12.75">
      <c r="B65" s="4" t="s">
        <v>55</v>
      </c>
      <c r="F65" s="41">
        <f>F11</f>
        <v>511</v>
      </c>
      <c r="G65" s="41">
        <f>G11</f>
        <v>679</v>
      </c>
      <c r="H65" s="41">
        <f>H11</f>
        <v>882</v>
      </c>
      <c r="I65" s="41">
        <f>I11</f>
        <v>1146</v>
      </c>
    </row>
    <row r="66" spans="2:9" ht="12.75">
      <c r="B66" s="4" t="s">
        <v>11</v>
      </c>
      <c r="F66" s="41">
        <f>F13-F35+E35</f>
        <v>157</v>
      </c>
      <c r="G66" s="41">
        <f>G13-G35+F35</f>
        <v>210</v>
      </c>
      <c r="H66" s="41">
        <f>H13-H35+G35</f>
        <v>274</v>
      </c>
      <c r="I66" s="41">
        <f>I13-I35+H35</f>
        <v>356</v>
      </c>
    </row>
    <row r="67" spans="2:9" ht="12.75">
      <c r="B67" s="4" t="s">
        <v>56</v>
      </c>
      <c r="F67" s="41">
        <f>F15</f>
        <v>73</v>
      </c>
      <c r="G67" s="41">
        <f>G15</f>
        <v>81</v>
      </c>
      <c r="H67" s="41">
        <f>H15</f>
        <v>96</v>
      </c>
      <c r="I67" s="41">
        <f>I15</f>
        <v>117</v>
      </c>
    </row>
    <row r="68" spans="2:9" ht="12.75">
      <c r="B68" s="4" t="s">
        <v>57</v>
      </c>
      <c r="F68" s="41">
        <f>F18-F34+E34</f>
        <v>9</v>
      </c>
      <c r="G68" s="41">
        <f>G18-G34+F34</f>
        <v>19</v>
      </c>
      <c r="H68" s="41">
        <f>H18-H34+G34</f>
        <v>27</v>
      </c>
      <c r="I68" s="41">
        <f>I18-I34+H34</f>
        <v>35</v>
      </c>
    </row>
    <row r="69" spans="2:9" ht="12.75">
      <c r="B69" s="4" t="s">
        <v>58</v>
      </c>
      <c r="F69" s="41">
        <f>F28-E28+25</f>
        <v>53</v>
      </c>
      <c r="G69" s="41">
        <f>G28-F28+40</f>
        <v>47</v>
      </c>
      <c r="H69" s="41">
        <f>H28-G28</f>
        <v>33</v>
      </c>
      <c r="I69" s="41">
        <f>I28-H28</f>
        <v>35</v>
      </c>
    </row>
    <row r="70" spans="2:9" ht="12.75">
      <c r="B70" s="72" t="s">
        <v>59</v>
      </c>
      <c r="C70" s="13"/>
      <c r="D70" s="13"/>
      <c r="E70" s="13"/>
      <c r="F70" s="46">
        <f>SUM(F64:F69)</f>
        <v>2700</v>
      </c>
      <c r="G70" s="46">
        <f>SUM(G64:G69)</f>
        <v>3589</v>
      </c>
      <c r="H70" s="46">
        <f>SUM(H64:H69)</f>
        <v>4640</v>
      </c>
      <c r="I70" s="46">
        <f>SUM(I64:I69)</f>
        <v>6007</v>
      </c>
    </row>
    <row r="71" spans="2:9" ht="6.75" customHeight="1">
      <c r="B71" s="4"/>
      <c r="F71" s="41"/>
      <c r="G71" s="41"/>
      <c r="H71" s="41"/>
      <c r="I71" s="41"/>
    </row>
    <row r="72" spans="2:9" s="68" customFormat="1" ht="12.75">
      <c r="B72" s="72" t="s">
        <v>60</v>
      </c>
      <c r="C72" s="73"/>
      <c r="D72" s="73"/>
      <c r="E72" s="73"/>
      <c r="F72" s="74">
        <f>+F62-F70</f>
        <v>-54</v>
      </c>
      <c r="G72" s="74">
        <f>+G62-G70</f>
        <v>-137</v>
      </c>
      <c r="H72" s="74">
        <f>+H62-H70</f>
        <v>-141</v>
      </c>
      <c r="I72" s="74">
        <f>+I62-I70</f>
        <v>-160</v>
      </c>
    </row>
    <row r="73" spans="2:9" ht="12.75">
      <c r="B73" s="4"/>
      <c r="F73" s="41"/>
      <c r="G73" s="41"/>
      <c r="H73" s="41"/>
      <c r="I73" s="41"/>
    </row>
    <row r="74" spans="2:9" ht="12.75">
      <c r="B74" s="9" t="s">
        <v>61</v>
      </c>
      <c r="F74" s="41"/>
      <c r="G74" s="41"/>
      <c r="H74" s="41"/>
      <c r="I74" s="41"/>
    </row>
    <row r="75" spans="2:9" ht="12.75">
      <c r="B75" s="4" t="s">
        <v>62</v>
      </c>
      <c r="F75" s="41">
        <f>F33-E33</f>
        <v>60</v>
      </c>
      <c r="G75" s="41">
        <f>G33-F33</f>
        <v>85</v>
      </c>
      <c r="H75" s="41">
        <f>H33-G33</f>
        <v>150</v>
      </c>
      <c r="I75" s="41">
        <f>I33-H33</f>
        <v>170</v>
      </c>
    </row>
    <row r="76" spans="2:9" ht="12.75">
      <c r="B76" s="4" t="s">
        <v>63</v>
      </c>
      <c r="F76" s="41">
        <f>E24-F24</f>
        <v>4</v>
      </c>
      <c r="G76" s="41">
        <f>F24-G24</f>
        <v>2</v>
      </c>
      <c r="H76" s="41">
        <f>G24-H24</f>
        <v>1</v>
      </c>
      <c r="I76" s="41">
        <f>H24-I24</f>
        <v>0</v>
      </c>
    </row>
    <row r="77" spans="2:9" ht="12.75">
      <c r="B77" s="4" t="s">
        <v>64</v>
      </c>
      <c r="F77" s="41">
        <v>0</v>
      </c>
      <c r="G77" s="41">
        <v>60</v>
      </c>
      <c r="H77" s="41"/>
      <c r="I77" s="41"/>
    </row>
    <row r="78" spans="2:9" ht="12.75">
      <c r="B78" s="4" t="s">
        <v>65</v>
      </c>
      <c r="F78" s="41">
        <f>-E38+F38</f>
        <v>-10</v>
      </c>
      <c r="G78" s="41">
        <f>-F38+G38</f>
        <v>-10</v>
      </c>
      <c r="H78" s="41">
        <f>-G38+H38</f>
        <v>-10</v>
      </c>
      <c r="I78" s="41">
        <f>-H38+I38</f>
        <v>-10</v>
      </c>
    </row>
    <row r="79" spans="2:9" s="68" customFormat="1" ht="12.75">
      <c r="B79" s="72" t="s">
        <v>66</v>
      </c>
      <c r="C79" s="73"/>
      <c r="D79" s="73"/>
      <c r="E79" s="73"/>
      <c r="F79" s="74">
        <f>SUM(F75:F78)</f>
        <v>54</v>
      </c>
      <c r="G79" s="74">
        <f>SUM(G75:G78)</f>
        <v>137</v>
      </c>
      <c r="H79" s="74">
        <f>SUM(H75:H78)</f>
        <v>141</v>
      </c>
      <c r="I79" s="74">
        <f>SUM(I75:I78)</f>
        <v>160</v>
      </c>
    </row>
    <row r="80" spans="6:9" s="68" customFormat="1" ht="12.75">
      <c r="F80" s="69"/>
      <c r="G80" s="69"/>
      <c r="H80" s="69"/>
      <c r="I80" s="69"/>
    </row>
    <row r="81" spans="2:9" s="5" customFormat="1" ht="12.75">
      <c r="B81" s="51" t="s">
        <v>67</v>
      </c>
      <c r="C81" s="49"/>
      <c r="D81" s="50"/>
      <c r="E81" s="70">
        <v>2008</v>
      </c>
      <c r="F81" s="52">
        <v>2009</v>
      </c>
      <c r="G81" s="52">
        <v>2010</v>
      </c>
      <c r="H81" s="52">
        <v>2011</v>
      </c>
      <c r="I81" s="52">
        <v>2012</v>
      </c>
    </row>
    <row r="82" spans="2:9" s="5" customFormat="1" ht="12.75">
      <c r="B82" s="4" t="s">
        <v>68</v>
      </c>
      <c r="D82" s="71"/>
      <c r="E82" s="77">
        <f>E19/E5</f>
        <v>0.005364327223960662</v>
      </c>
      <c r="F82" s="77">
        <f>F19/F5</f>
        <v>0.011878247958426132</v>
      </c>
      <c r="G82" s="77">
        <f>G19/G5</f>
        <v>0.016844469399213923</v>
      </c>
      <c r="H82" s="77">
        <f>H19/H5</f>
        <v>0.01468682505399568</v>
      </c>
      <c r="I82" s="77">
        <f>I19/I5</f>
        <v>0.01661405549094534</v>
      </c>
    </row>
    <row r="83" spans="2:9" s="5" customFormat="1" ht="12.75">
      <c r="B83" s="4" t="s">
        <v>69</v>
      </c>
      <c r="D83" s="71"/>
      <c r="E83" s="78">
        <f>E19*2/(E39+E39-E19)</f>
        <v>0.05357142857142857</v>
      </c>
      <c r="F83" s="78">
        <f>F19*2/(F39+E39)</f>
        <v>0.13008130081300814</v>
      </c>
      <c r="G83" s="78">
        <f>G19*2/(G39+F39)</f>
        <v>0.2054794520547945</v>
      </c>
      <c r="H83" s="78">
        <f>H19*2/(H39+G39)</f>
        <v>0.19101123595505617</v>
      </c>
      <c r="I83" s="78">
        <f>I19*2/(I39+H39)</f>
        <v>0.22727272727272727</v>
      </c>
    </row>
    <row r="84" spans="2:9" s="5" customFormat="1" ht="12.75">
      <c r="B84" s="12" t="s">
        <v>70</v>
      </c>
      <c r="C84" s="13"/>
      <c r="D84" s="75"/>
      <c r="E84" s="79">
        <f>(E38+E34+E33)/(E38+E39+E33+E34)</f>
        <v>0.6844993141289437</v>
      </c>
      <c r="F84" s="79">
        <f>(F38+F34+F33)/(F38+F39+F33+F34)</f>
        <v>0.6785276073619632</v>
      </c>
      <c r="G84" s="79">
        <f>(G38+G34+G33)/(G38+G39+G33+G34)</f>
        <v>0.6631799163179917</v>
      </c>
      <c r="H84" s="79">
        <f>(H38+H34+H33)/(H38+H39+H33+H34)</f>
        <v>0.6655231560891939</v>
      </c>
      <c r="I84" s="79">
        <f>(I38+I34+I33)/(I38+I39+I33+I34)</f>
        <v>0.6580600139567341</v>
      </c>
    </row>
    <row r="85" spans="2:9" s="5" customFormat="1" ht="12.75">
      <c r="B85" s="4" t="s">
        <v>71</v>
      </c>
      <c r="D85" s="71"/>
      <c r="E85" s="80">
        <f>E25*365/E5</f>
        <v>45.84935181046044</v>
      </c>
      <c r="F85" s="80">
        <f>F25*365/F5</f>
        <v>44.574981440237565</v>
      </c>
      <c r="G85" s="80">
        <f>G25*365/G5</f>
        <v>44.98455923638405</v>
      </c>
      <c r="H85" s="80">
        <f>H25*365/H5</f>
        <v>44.93520518358531</v>
      </c>
      <c r="I85" s="80">
        <f>I25*365/I5</f>
        <v>44.99584648612726</v>
      </c>
    </row>
    <row r="86" spans="2:9" s="5" customFormat="1" ht="12.75">
      <c r="B86" s="4" t="s">
        <v>72</v>
      </c>
      <c r="D86" s="71"/>
      <c r="E86" s="80">
        <f>E36*365/E8</f>
        <v>40.34322280395579</v>
      </c>
      <c r="F86" s="80">
        <f>F36*365/F8</f>
        <v>40.32308494007295</v>
      </c>
      <c r="G86" s="80">
        <f>G36*365/G8</f>
        <v>41.8286686838124</v>
      </c>
      <c r="H86" s="80">
        <f>H36*365/H8</f>
        <v>39.97056226081837</v>
      </c>
      <c r="I86" s="80">
        <f>I36*365/I8</f>
        <v>39.9514782216204</v>
      </c>
    </row>
    <row r="87" spans="2:9" s="5" customFormat="1" ht="12.75">
      <c r="B87" s="12" t="s">
        <v>73</v>
      </c>
      <c r="C87" s="13"/>
      <c r="D87" s="75"/>
      <c r="E87" s="81">
        <f>E26*365/E6</f>
        <v>85.81432192648923</v>
      </c>
      <c r="F87" s="81">
        <f>F26*365/F6</f>
        <v>84.14024717893605</v>
      </c>
      <c r="G87" s="81">
        <f>G26*365/G6</f>
        <v>85.45983935742971</v>
      </c>
      <c r="H87" s="81">
        <f>H26*365/H6</f>
        <v>83.91841779975279</v>
      </c>
      <c r="I87" s="81">
        <f>I26*365/I6</f>
        <v>83.98383646303779</v>
      </c>
    </row>
    <row r="88" spans="2:9" s="5" customFormat="1" ht="12.75">
      <c r="B88" s="4" t="s">
        <v>77</v>
      </c>
      <c r="D88" s="71"/>
      <c r="E88" s="78">
        <f>E24/E37</f>
        <v>0.05194805194805195</v>
      </c>
      <c r="F88" s="78">
        <f>F24/F37</f>
        <v>0.039660056657223795</v>
      </c>
      <c r="G88" s="78">
        <f>G24/G37</f>
        <v>0.028953229398663696</v>
      </c>
      <c r="H88" s="78">
        <f>H24/H37</f>
        <v>0.022123893805309734</v>
      </c>
      <c r="I88" s="78">
        <f>I24/I37</f>
        <v>0.017433751743375175</v>
      </c>
    </row>
    <row r="89" spans="2:9" s="5" customFormat="1" ht="12.75">
      <c r="B89" s="12" t="s">
        <v>78</v>
      </c>
      <c r="C89" s="13"/>
      <c r="D89" s="75"/>
      <c r="E89" s="79">
        <v>0.279</v>
      </c>
      <c r="F89" s="79">
        <f>F5/E5-1</f>
        <v>0.20429146177916846</v>
      </c>
      <c r="G89" s="79">
        <f>G5/F5-1</f>
        <v>0.32219747587230874</v>
      </c>
      <c r="H89" s="79">
        <f>H5/G5-1</f>
        <v>0.2998315553060078</v>
      </c>
      <c r="I89" s="79">
        <f>I5/H5-1</f>
        <v>0.30000000000000004</v>
      </c>
    </row>
  </sheetData>
  <sheetProtection/>
  <printOptions/>
  <pageMargins left="0.39566929133858264" right="0.39566929133858264" top="0.8031496062992126" bottom="0.8031496062992126" header="0.5" footer="0.5"/>
  <pageSetup orientation="portrait" paperSize="9"/>
  <headerFooter alignWithMargins="0">
    <oddHeader>&amp;C&amp;F</oddHeader>
    <oddFooter>&amp;CP‡gina &amp;P</oddFooter>
  </headerFooter>
  <rowBreaks count="3" manualBreakCount="3">
    <brk id="44" max="65535" man="1"/>
    <brk id="86" max="65535" man="1"/>
    <brk id="11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2115" topLeftCell="A1" activePane="bottomLeft" state="split"/>
      <selection pane="topLeft" activeCell="A2" sqref="A2"/>
      <selection pane="bottomLeft" activeCell="I12" sqref="I12"/>
    </sheetView>
  </sheetViews>
  <sheetFormatPr defaultColWidth="9.125" defaultRowHeight="12.75"/>
  <cols>
    <col min="1" max="1" width="29.75390625" style="3" customWidth="1"/>
    <col min="2" max="16384" width="9.125" style="3" customWidth="1"/>
  </cols>
  <sheetData>
    <row r="1" spans="1:6" ht="12.75">
      <c r="A1" s="1" t="s">
        <v>105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ht="12.75">
      <c r="A2" s="4" t="s">
        <v>1</v>
      </c>
      <c r="B2" s="5"/>
      <c r="C2" s="43">
        <v>110275</v>
      </c>
      <c r="D2" s="43">
        <v>170367</v>
      </c>
      <c r="E2" s="43">
        <v>170367</v>
      </c>
      <c r="F2" s="43">
        <v>192288</v>
      </c>
    </row>
    <row r="3" spans="1:6" ht="12.75">
      <c r="A3" s="4" t="s">
        <v>2</v>
      </c>
      <c r="B3" s="5"/>
      <c r="C3" s="41">
        <v>75417</v>
      </c>
      <c r="D3" s="41">
        <v>116456</v>
      </c>
      <c r="E3" s="41">
        <v>116456</v>
      </c>
      <c r="F3" s="41">
        <v>137810</v>
      </c>
    </row>
    <row r="4" spans="1:6" ht="12.75">
      <c r="A4" s="4" t="s">
        <v>9</v>
      </c>
      <c r="B4" s="5"/>
      <c r="C4" s="41">
        <v>10735</v>
      </c>
      <c r="D4" s="41">
        <v>10950</v>
      </c>
      <c r="E4" s="41">
        <v>10950</v>
      </c>
      <c r="F4" s="41">
        <v>11169</v>
      </c>
    </row>
    <row r="5" spans="1:6" ht="12.75">
      <c r="A5" s="4" t="s">
        <v>10</v>
      </c>
      <c r="B5" s="5"/>
      <c r="C5" s="41">
        <v>4141</v>
      </c>
      <c r="D5" s="41">
        <v>4381</v>
      </c>
      <c r="E5" s="41">
        <v>4381</v>
      </c>
      <c r="F5" s="41">
        <v>4478</v>
      </c>
    </row>
    <row r="6" spans="1:6" ht="12.75">
      <c r="A6" s="4" t="s">
        <v>11</v>
      </c>
      <c r="B6" s="5"/>
      <c r="C6" s="41">
        <f>7151+2381</f>
        <v>9532</v>
      </c>
      <c r="D6" s="41">
        <f>3200+3672</f>
        <v>6872</v>
      </c>
      <c r="E6" s="41">
        <f>3200+3672</f>
        <v>6872</v>
      </c>
      <c r="F6" s="41">
        <f>3264+3621</f>
        <v>6885</v>
      </c>
    </row>
    <row r="7" spans="1:6" ht="12.75">
      <c r="A7" s="4" t="s">
        <v>13</v>
      </c>
      <c r="B7" s="5"/>
      <c r="C7" s="41">
        <v>1920</v>
      </c>
      <c r="D7" s="41">
        <v>2356</v>
      </c>
      <c r="E7" s="41">
        <v>2356</v>
      </c>
      <c r="F7" s="41">
        <v>2356</v>
      </c>
    </row>
    <row r="8" spans="1:6" ht="12.75">
      <c r="A8" s="4" t="s">
        <v>80</v>
      </c>
      <c r="B8" s="5"/>
      <c r="C8" s="41">
        <f>C2-C3-C4-C5-C6-C7</f>
        <v>8530</v>
      </c>
      <c r="D8" s="41">
        <f>D2-D3-D4-D5-D6-D7</f>
        <v>29352</v>
      </c>
      <c r="E8" s="41">
        <f>E2-E3-E4-E5-E6-E7</f>
        <v>29352</v>
      </c>
      <c r="F8" s="41">
        <f>F2-F3-F4-F5-F6-F7</f>
        <v>29590</v>
      </c>
    </row>
    <row r="9" spans="1:6" ht="12.75">
      <c r="A9" s="4" t="s">
        <v>57</v>
      </c>
      <c r="B9" s="5"/>
      <c r="C9" s="41">
        <v>2730</v>
      </c>
      <c r="D9" s="41">
        <v>9686</v>
      </c>
      <c r="E9" s="41">
        <v>9686</v>
      </c>
      <c r="F9" s="41">
        <v>10356</v>
      </c>
    </row>
    <row r="10" spans="1:6" ht="13.5" thickBot="1">
      <c r="A10" s="7" t="s">
        <v>81</v>
      </c>
      <c r="B10" s="8"/>
      <c r="C10" s="42">
        <f>C8-C9</f>
        <v>5800</v>
      </c>
      <c r="D10" s="42">
        <f>D8-D9</f>
        <v>19666</v>
      </c>
      <c r="E10" s="42">
        <f>E8-E9</f>
        <v>19666</v>
      </c>
      <c r="F10" s="42">
        <f>F8-F9</f>
        <v>19234</v>
      </c>
    </row>
    <row r="11" spans="1:6" ht="12.75">
      <c r="A11" s="9" t="s">
        <v>82</v>
      </c>
      <c r="B11" s="10"/>
      <c r="C11" s="44">
        <v>0</v>
      </c>
      <c r="D11" s="45">
        <v>18388</v>
      </c>
      <c r="E11" s="45">
        <v>19666</v>
      </c>
      <c r="F11" s="45">
        <v>8817</v>
      </c>
    </row>
    <row r="12" spans="1:6" ht="12.75">
      <c r="A12" s="12" t="s">
        <v>83</v>
      </c>
      <c r="B12" s="13"/>
      <c r="C12" s="46">
        <f>C10-C11</f>
        <v>5800</v>
      </c>
      <c r="D12" s="46">
        <f>D10-D11</f>
        <v>1278</v>
      </c>
      <c r="E12" s="46">
        <f>E10-E11</f>
        <v>0</v>
      </c>
      <c r="F12" s="46">
        <f>F10-F11</f>
        <v>10417</v>
      </c>
    </row>
    <row r="14" spans="1:6" ht="12.75">
      <c r="A14" s="1" t="s">
        <v>84</v>
      </c>
      <c r="B14" s="2">
        <v>2014</v>
      </c>
      <c r="C14" s="2">
        <v>2015</v>
      </c>
      <c r="D14" s="2">
        <v>2016</v>
      </c>
      <c r="E14" s="2">
        <v>2017</v>
      </c>
      <c r="F14" s="2">
        <v>2018</v>
      </c>
    </row>
    <row r="15" spans="1:6" ht="12.75">
      <c r="A15" s="3" t="s">
        <v>19</v>
      </c>
      <c r="B15" s="43">
        <v>1000</v>
      </c>
      <c r="C15" s="43">
        <v>1103</v>
      </c>
      <c r="D15" s="43">
        <v>1704</v>
      </c>
      <c r="E15" s="43">
        <v>1704</v>
      </c>
      <c r="F15" s="43">
        <v>1922</v>
      </c>
    </row>
    <row r="16" spans="1:6" ht="12.75">
      <c r="A16" s="3" t="s">
        <v>20</v>
      </c>
      <c r="B16" s="40"/>
      <c r="C16" s="41">
        <v>18787</v>
      </c>
      <c r="D16" s="41">
        <v>21471</v>
      </c>
      <c r="E16" s="41">
        <v>21471</v>
      </c>
      <c r="F16" s="41">
        <v>24234</v>
      </c>
    </row>
    <row r="17" spans="1:6" ht="12.75">
      <c r="A17" s="3" t="s">
        <v>21</v>
      </c>
      <c r="B17" s="41">
        <v>6300</v>
      </c>
      <c r="C17" s="41">
        <v>14729</v>
      </c>
      <c r="D17" s="41">
        <v>14729</v>
      </c>
      <c r="E17" s="41">
        <v>14729</v>
      </c>
      <c r="F17" s="41">
        <v>16335</v>
      </c>
    </row>
    <row r="18" spans="1:6" ht="12.75">
      <c r="A18" s="3" t="s">
        <v>85</v>
      </c>
      <c r="B18" s="41">
        <v>56700</v>
      </c>
      <c r="C18" s="41">
        <v>56700</v>
      </c>
      <c r="D18" s="41">
        <v>62700</v>
      </c>
      <c r="E18" s="41">
        <v>67081</v>
      </c>
      <c r="F18" s="41">
        <v>72081</v>
      </c>
    </row>
    <row r="19" spans="1:6" ht="12.75">
      <c r="A19" s="3" t="s">
        <v>86</v>
      </c>
      <c r="B19" s="40">
        <v>0</v>
      </c>
      <c r="C19" s="41">
        <f>C5</f>
        <v>4141</v>
      </c>
      <c r="D19" s="41">
        <f>C19+D5</f>
        <v>8522</v>
      </c>
      <c r="E19" s="41">
        <f>D19+E5</f>
        <v>12903</v>
      </c>
      <c r="F19" s="41">
        <f>E19+F5</f>
        <v>17381</v>
      </c>
    </row>
    <row r="20" spans="1:6" ht="12.75">
      <c r="A20" s="3" t="s">
        <v>25</v>
      </c>
      <c r="B20" s="41">
        <f>B18-B19</f>
        <v>56700</v>
      </c>
      <c r="C20" s="41">
        <f>C18-C19</f>
        <v>52559</v>
      </c>
      <c r="D20" s="41">
        <f>D18-D19</f>
        <v>54178</v>
      </c>
      <c r="E20" s="41">
        <f>E18-E19</f>
        <v>54178</v>
      </c>
      <c r="F20" s="41">
        <f>F18-F19</f>
        <v>54700</v>
      </c>
    </row>
    <row r="21" spans="1:6" ht="13.5" thickBot="1">
      <c r="A21" s="8" t="s">
        <v>26</v>
      </c>
      <c r="B21" s="42">
        <f>B20+B17+B16+B15</f>
        <v>64000</v>
      </c>
      <c r="C21" s="42">
        <f>C20+C17+C16+C15</f>
        <v>87178</v>
      </c>
      <c r="D21" s="42">
        <f>D20+D17+D16+D15</f>
        <v>92082</v>
      </c>
      <c r="E21" s="42">
        <f>E20+E17+E16+E15</f>
        <v>92082</v>
      </c>
      <c r="F21" s="42">
        <f>F20+F17+F16+F15</f>
        <v>97191</v>
      </c>
    </row>
    <row r="23" spans="1:6" ht="12.75">
      <c r="A23" s="1" t="s">
        <v>87</v>
      </c>
      <c r="B23" s="39">
        <v>2014</v>
      </c>
      <c r="C23" s="39">
        <v>2015</v>
      </c>
      <c r="D23" s="39">
        <v>2016</v>
      </c>
      <c r="E23" s="39">
        <v>2017</v>
      </c>
      <c r="F23" s="39">
        <v>2018</v>
      </c>
    </row>
    <row r="24" spans="1:6" ht="12.75">
      <c r="A24" s="3" t="s">
        <v>30</v>
      </c>
      <c r="B24" s="40"/>
      <c r="C24" s="41">
        <v>9195</v>
      </c>
      <c r="D24" s="41">
        <v>10502</v>
      </c>
      <c r="E24" s="41">
        <v>10502</v>
      </c>
      <c r="F24" s="41">
        <v>12244</v>
      </c>
    </row>
    <row r="25" spans="1:6" ht="12.75">
      <c r="A25" s="3" t="s">
        <v>28</v>
      </c>
      <c r="B25" s="40"/>
      <c r="C25" s="40">
        <v>910</v>
      </c>
      <c r="D25" s="41">
        <v>3229</v>
      </c>
      <c r="E25" s="41">
        <v>3229</v>
      </c>
      <c r="F25" s="41">
        <v>3452</v>
      </c>
    </row>
    <row r="26" spans="1:6" ht="12.75">
      <c r="A26" s="3" t="s">
        <v>103</v>
      </c>
      <c r="B26" s="40">
        <v>0</v>
      </c>
      <c r="C26" s="41">
        <v>7273</v>
      </c>
      <c r="D26" s="41">
        <v>7273</v>
      </c>
      <c r="E26" s="41">
        <v>7273</v>
      </c>
      <c r="F26" s="40">
        <v>0</v>
      </c>
    </row>
    <row r="27" spans="1:6" ht="12.75">
      <c r="A27" s="3" t="s">
        <v>88</v>
      </c>
      <c r="B27" s="41">
        <v>32000</v>
      </c>
      <c r="C27" s="41">
        <v>32000</v>
      </c>
      <c r="D27" s="41">
        <v>32000</v>
      </c>
      <c r="E27" s="41">
        <v>32000</v>
      </c>
      <c r="F27" s="41">
        <v>32000</v>
      </c>
    </row>
    <row r="28" spans="1:6" ht="12.75">
      <c r="A28" s="3" t="s">
        <v>89</v>
      </c>
      <c r="B28" s="41">
        <v>32000</v>
      </c>
      <c r="C28" s="41">
        <v>32000</v>
      </c>
      <c r="D28" s="41">
        <v>32000</v>
      </c>
      <c r="E28" s="41">
        <v>32000</v>
      </c>
      <c r="F28" s="41">
        <v>32000</v>
      </c>
    </row>
    <row r="29" spans="1:6" ht="12.75">
      <c r="A29" s="3" t="s">
        <v>90</v>
      </c>
      <c r="B29" s="40">
        <v>0</v>
      </c>
      <c r="C29" s="41">
        <f>C12</f>
        <v>5800</v>
      </c>
      <c r="D29" s="41">
        <f>C29+D12</f>
        <v>7078</v>
      </c>
      <c r="E29" s="41">
        <f>D29+E12</f>
        <v>7078</v>
      </c>
      <c r="F29" s="41">
        <f>E29+F12</f>
        <v>17495</v>
      </c>
    </row>
    <row r="30" spans="1:6" ht="13.5" thickBot="1">
      <c r="A30" s="8" t="s">
        <v>91</v>
      </c>
      <c r="B30" s="42">
        <f>SUM(B24:B29)</f>
        <v>64000</v>
      </c>
      <c r="C30" s="42">
        <f>SUM(C24:C29)</f>
        <v>87178</v>
      </c>
      <c r="D30" s="42">
        <f>SUM(D24:D29)</f>
        <v>92082</v>
      </c>
      <c r="E30" s="42">
        <f>SUM(E24:E29)</f>
        <v>92082</v>
      </c>
      <c r="F30" s="42">
        <f>SUM(F24:F29)</f>
        <v>97191</v>
      </c>
    </row>
    <row r="32" ht="12.75">
      <c r="A32" s="3" t="s">
        <v>104</v>
      </c>
    </row>
    <row r="33" spans="1:6" ht="12.75">
      <c r="A33" s="16" t="s">
        <v>79</v>
      </c>
      <c r="B33" s="17">
        <v>2013</v>
      </c>
      <c r="C33" s="17">
        <v>2014</v>
      </c>
      <c r="D33" s="17">
        <v>2015</v>
      </c>
      <c r="E33" s="17">
        <v>2016</v>
      </c>
      <c r="F33" s="17">
        <v>2017</v>
      </c>
    </row>
    <row r="34" spans="1:6" ht="12.75">
      <c r="A34" s="19" t="s">
        <v>92</v>
      </c>
      <c r="B34" s="18">
        <f>B10</f>
        <v>0</v>
      </c>
      <c r="C34" s="20">
        <f>C10</f>
        <v>5800</v>
      </c>
      <c r="D34" s="18">
        <f>D10</f>
        <v>19666</v>
      </c>
      <c r="E34" s="18">
        <f>E10</f>
        <v>19666</v>
      </c>
      <c r="F34" s="18">
        <f>F10</f>
        <v>19234</v>
      </c>
    </row>
    <row r="35" spans="1:6" ht="12.75">
      <c r="A35" s="15" t="s">
        <v>36</v>
      </c>
      <c r="B35" s="21">
        <f>B5</f>
        <v>0</v>
      </c>
      <c r="C35" s="23">
        <f>C5</f>
        <v>4141</v>
      </c>
      <c r="D35" s="24">
        <f>D5</f>
        <v>4381</v>
      </c>
      <c r="E35" s="23">
        <f>E5</f>
        <v>4381</v>
      </c>
      <c r="F35" s="24">
        <f>F5</f>
        <v>4478</v>
      </c>
    </row>
    <row r="36" spans="1:6" ht="12.75">
      <c r="A36" s="15" t="s">
        <v>93</v>
      </c>
      <c r="B36" s="21">
        <f>SUM(B15:B17)-SUM(B24:B25)</f>
        <v>7300</v>
      </c>
      <c r="C36" s="23">
        <f>SUM(C15:C17)-SUM(C24:C25)-(SUM(B15:B17)-SUM(B24:B25))</f>
        <v>17214</v>
      </c>
      <c r="D36" s="21">
        <f>SUM(D15:D17)-SUM(D24:D25)-(SUM(C15:C17)-SUM(C24:C25))</f>
        <v>-341</v>
      </c>
      <c r="E36" s="23">
        <f>SUM(E15:E17)-SUM(E24:E25)-(SUM(D15:D17)-SUM(D24:D25))</f>
        <v>0</v>
      </c>
      <c r="F36" s="21">
        <f>SUM(F15:F17)-SUM(F24:F25)-(SUM(E15:E17)-SUM(E24:E25))</f>
        <v>2622</v>
      </c>
    </row>
    <row r="37" spans="1:6" ht="12.75">
      <c r="A37" s="15" t="s">
        <v>94</v>
      </c>
      <c r="B37" s="21">
        <f>B18</f>
        <v>56700</v>
      </c>
      <c r="C37" s="23">
        <f>C18-B18</f>
        <v>0</v>
      </c>
      <c r="D37" s="21">
        <f>D18-C18</f>
        <v>6000</v>
      </c>
      <c r="E37" s="23">
        <f>E18-D18</f>
        <v>4381</v>
      </c>
      <c r="F37" s="21">
        <f>F18-E18</f>
        <v>5000</v>
      </c>
    </row>
    <row r="38" spans="1:6" ht="12.75">
      <c r="A38" s="15" t="s">
        <v>95</v>
      </c>
      <c r="B38" s="21">
        <f>B26</f>
        <v>0</v>
      </c>
      <c r="C38" s="23">
        <f>C26-B26</f>
        <v>7273</v>
      </c>
      <c r="D38" s="21">
        <f>D26-C26</f>
        <v>0</v>
      </c>
      <c r="E38" s="23">
        <f>E26-D26</f>
        <v>0</v>
      </c>
      <c r="F38" s="21">
        <f>F26-E26</f>
        <v>-7273</v>
      </c>
    </row>
    <row r="39" spans="1:6" ht="12.75">
      <c r="A39" s="15" t="s">
        <v>96</v>
      </c>
      <c r="B39" s="21">
        <f>B27</f>
        <v>32000</v>
      </c>
      <c r="C39" s="23">
        <f>C28-B28</f>
        <v>0</v>
      </c>
      <c r="D39" s="21">
        <f>D28-C28</f>
        <v>0</v>
      </c>
      <c r="E39" s="23">
        <f>E28-D28</f>
        <v>0</v>
      </c>
      <c r="F39" s="21">
        <f>F28-E28</f>
        <v>0</v>
      </c>
    </row>
    <row r="40" spans="1:6" ht="12.75">
      <c r="A40" s="25" t="s">
        <v>97</v>
      </c>
      <c r="B40" s="26">
        <f>B34+B35-B36-B37+B38+B39</f>
        <v>-32000</v>
      </c>
      <c r="C40" s="27">
        <f>C34+C35-C36-C37+C38+C39</f>
        <v>0</v>
      </c>
      <c r="D40" s="26">
        <f>D34+D35-D36-D37+D38+D39</f>
        <v>18388</v>
      </c>
      <c r="E40" s="27">
        <f>E34+E35-E36-E37+E38+E39</f>
        <v>19666</v>
      </c>
      <c r="F40" s="26">
        <f>F34+F35-F36-F37+F38+F39</f>
        <v>8817</v>
      </c>
    </row>
    <row r="41" spans="1:6" ht="12.75">
      <c r="A41" s="28" t="s">
        <v>98</v>
      </c>
      <c r="B41" s="24">
        <f aca="true" t="shared" si="0" ref="B41:F42">B38</f>
        <v>0</v>
      </c>
      <c r="C41" s="24">
        <f t="shared" si="0"/>
        <v>7273</v>
      </c>
      <c r="D41" s="36">
        <f t="shared" si="0"/>
        <v>0</v>
      </c>
      <c r="E41" s="29">
        <f t="shared" si="0"/>
        <v>0</v>
      </c>
      <c r="F41" s="24">
        <f t="shared" si="0"/>
        <v>-7273</v>
      </c>
    </row>
    <row r="42" spans="1:6" ht="12.75">
      <c r="A42" s="30" t="s">
        <v>99</v>
      </c>
      <c r="B42" s="21">
        <f t="shared" si="0"/>
        <v>32000</v>
      </c>
      <c r="C42" s="21">
        <f t="shared" si="0"/>
        <v>0</v>
      </c>
      <c r="D42" s="37">
        <f t="shared" si="0"/>
        <v>0</v>
      </c>
      <c r="E42" s="23">
        <f t="shared" si="0"/>
        <v>0</v>
      </c>
      <c r="F42" s="21">
        <f t="shared" si="0"/>
        <v>0</v>
      </c>
    </row>
    <row r="43" spans="1:6" ht="12.75">
      <c r="A43" s="30" t="s">
        <v>100</v>
      </c>
      <c r="B43" s="21">
        <f>B7*0.65</f>
        <v>0</v>
      </c>
      <c r="C43" s="21">
        <f>ROUND(C7*0.65,0)</f>
        <v>1248</v>
      </c>
      <c r="D43" s="21">
        <f>ROUND(D7*0.65,0)</f>
        <v>1531</v>
      </c>
      <c r="E43" s="21">
        <f>ROUND(E7*0.65,0)</f>
        <v>1531</v>
      </c>
      <c r="F43" s="21">
        <f>ROUND(F7*0.65,0)</f>
        <v>1531</v>
      </c>
    </row>
    <row r="44" spans="1:6" ht="12.75">
      <c r="A44" s="31" t="s">
        <v>101</v>
      </c>
      <c r="B44" s="22">
        <f>B40-B41-B42+B43</f>
        <v>-64000</v>
      </c>
      <c r="C44" s="22">
        <f>C40-C41-C42+C43</f>
        <v>-6025</v>
      </c>
      <c r="D44" s="38">
        <f>D40-D41-D42+D43</f>
        <v>19919</v>
      </c>
      <c r="E44" s="32">
        <f>E40-E41-E42+E43</f>
        <v>21197</v>
      </c>
      <c r="F44" s="22">
        <f>F40-F41-F42+F43</f>
        <v>17621</v>
      </c>
    </row>
    <row r="45" spans="1:6" ht="12.75">
      <c r="A45" s="15" t="s">
        <v>102</v>
      </c>
      <c r="B45" s="21">
        <f>B10+B5</f>
        <v>0</v>
      </c>
      <c r="C45" s="23">
        <f>C10+C5</f>
        <v>9941</v>
      </c>
      <c r="D45" s="21">
        <f>D10+D5</f>
        <v>24047</v>
      </c>
      <c r="E45" s="23">
        <f>E10+E5</f>
        <v>24047</v>
      </c>
      <c r="F45" s="21">
        <f>F10+F5</f>
        <v>23712</v>
      </c>
    </row>
    <row r="46" spans="1:6" ht="12.75">
      <c r="A46" s="33" t="s">
        <v>49</v>
      </c>
      <c r="B46" s="34">
        <f>-B27-B26+B7</f>
        <v>-32000</v>
      </c>
      <c r="C46" s="35">
        <f>-(C27-B27)-(C26-B26)+C7</f>
        <v>-5353</v>
      </c>
      <c r="D46" s="34">
        <f>-(D27-C27)-(D26-C26)+D7</f>
        <v>2356</v>
      </c>
      <c r="E46" s="35">
        <f>-(E27-D27)-(E26-D26)+E7</f>
        <v>2356</v>
      </c>
      <c r="F46" s="34">
        <f>-(F27-E27)-(F26-E26)+F7</f>
        <v>9629</v>
      </c>
    </row>
    <row r="47" spans="1:6" ht="12.75">
      <c r="A47" s="25" t="s">
        <v>50</v>
      </c>
      <c r="B47" s="26">
        <f>B46+B40</f>
        <v>-64000</v>
      </c>
      <c r="C47" s="27">
        <f>C46+C40</f>
        <v>-5353</v>
      </c>
      <c r="D47" s="26">
        <f>D46+D40</f>
        <v>20744</v>
      </c>
      <c r="E47" s="27">
        <f>E46+E40</f>
        <v>22022</v>
      </c>
      <c r="F47" s="26">
        <f>F46+F40</f>
        <v>18446</v>
      </c>
    </row>
    <row r="48" spans="1:6" ht="12.75">
      <c r="A48" s="33" t="s">
        <v>82</v>
      </c>
      <c r="B48" s="34"/>
      <c r="C48" s="35">
        <f>C11</f>
        <v>0</v>
      </c>
      <c r="D48" s="34">
        <f>D11</f>
        <v>18388</v>
      </c>
      <c r="E48" s="35">
        <f>E11</f>
        <v>19666</v>
      </c>
      <c r="F48" s="34">
        <f>F11</f>
        <v>8817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Pablo Fernandez</cp:lastModifiedBy>
  <dcterms:created xsi:type="dcterms:W3CDTF">2001-03-09T10:40:07Z</dcterms:created>
  <dcterms:modified xsi:type="dcterms:W3CDTF">2019-05-25T20:27:28Z</dcterms:modified>
  <cp:category/>
  <cp:version/>
  <cp:contentType/>
  <cp:contentStatus/>
</cp:coreProperties>
</file>