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DMMartinez\Desktop\UPDATE PF\"/>
    </mc:Choice>
  </mc:AlternateContent>
  <bookViews>
    <workbookView xWindow="0" yWindow="420" windowWidth="28800" windowHeight="12015" activeTab="2"/>
  </bookViews>
  <sheets>
    <sheet name="GEmonth" sheetId="5" r:id="rId1"/>
    <sheet name="GenElectric" sheetId="2" r:id="rId2"/>
    <sheet name="Benchmarks" sheetId="3" r:id="rId3"/>
  </sheets>
  <definedNames>
    <definedName name="TRNR_312e2c2e76884d019df5efc69d471486_341_4" hidden="1">GEmonth!$K$2</definedName>
    <definedName name="TRNR_c47763163a9341a98db96cd235ed1fde_4_4" hidden="1">GEmonth!#REF!</definedName>
  </definedNames>
  <calcPr calcId="152511"/>
</workbook>
</file>

<file path=xl/calcChain.xml><?xml version="1.0" encoding="utf-8"?>
<calcChain xmlns="http://schemas.openxmlformats.org/spreadsheetml/2006/main">
  <c r="B64" i="2" l="1"/>
  <c r="E326" i="5"/>
  <c r="E327" i="5" s="1"/>
  <c r="E328" i="5" s="1"/>
  <c r="E329" i="5" s="1"/>
  <c r="E330" i="5" s="1"/>
  <c r="E331" i="5" s="1"/>
  <c r="E332" i="5" s="1"/>
  <c r="E333" i="5" s="1"/>
  <c r="E334" i="5" s="1"/>
  <c r="E335" i="5" s="1"/>
  <c r="E336" i="5" s="1"/>
  <c r="E337" i="5" s="1"/>
  <c r="E338" i="5" s="1"/>
  <c r="E339" i="5" s="1"/>
  <c r="E340" i="5" s="1"/>
  <c r="E341" i="5" s="1"/>
  <c r="E342" i="5" s="1"/>
  <c r="E343" i="5" s="1"/>
  <c r="E344" i="5" s="1"/>
  <c r="E12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B104" i="5"/>
  <c r="C104" i="5"/>
  <c r="D104" i="5"/>
  <c r="B105" i="5"/>
  <c r="C105" i="5"/>
  <c r="D105" i="5"/>
  <c r="B106" i="5"/>
  <c r="C106" i="5"/>
  <c r="D106" i="5"/>
  <c r="B107" i="5"/>
  <c r="C107" i="5"/>
  <c r="D107" i="5"/>
  <c r="B108" i="5"/>
  <c r="C108" i="5"/>
  <c r="D108" i="5"/>
  <c r="B109" i="5"/>
  <c r="C109" i="5"/>
  <c r="D109" i="5"/>
  <c r="B110" i="5"/>
  <c r="C110" i="5"/>
  <c r="D110" i="5"/>
  <c r="B111" i="5"/>
  <c r="C111" i="5"/>
  <c r="D111" i="5"/>
  <c r="B112" i="5"/>
  <c r="C112" i="5"/>
  <c r="D112" i="5"/>
  <c r="B113" i="5"/>
  <c r="C113" i="5"/>
  <c r="D113" i="5"/>
  <c r="B114" i="5"/>
  <c r="C114" i="5"/>
  <c r="D114" i="5"/>
  <c r="B115" i="5"/>
  <c r="C115" i="5"/>
  <c r="D115" i="5"/>
  <c r="B116" i="5"/>
  <c r="C116" i="5"/>
  <c r="D116" i="5"/>
  <c r="B117" i="5"/>
  <c r="C117" i="5"/>
  <c r="D117" i="5"/>
  <c r="B118" i="5"/>
  <c r="C118" i="5"/>
  <c r="D118" i="5"/>
  <c r="B119" i="5"/>
  <c r="C119" i="5"/>
  <c r="D119" i="5"/>
  <c r="B120" i="5"/>
  <c r="C120" i="5"/>
  <c r="D120" i="5"/>
  <c r="B121" i="5"/>
  <c r="C121" i="5"/>
  <c r="D121" i="5"/>
  <c r="B122" i="5"/>
  <c r="C122" i="5"/>
  <c r="D122" i="5"/>
  <c r="B123" i="5"/>
  <c r="C123" i="5"/>
  <c r="D123" i="5"/>
  <c r="B124" i="5"/>
  <c r="C124" i="5"/>
  <c r="D124" i="5"/>
  <c r="B125" i="5"/>
  <c r="C125" i="5"/>
  <c r="D125" i="5"/>
  <c r="B126" i="5"/>
  <c r="C126" i="5"/>
  <c r="D126" i="5"/>
  <c r="B127" i="5"/>
  <c r="C127" i="5"/>
  <c r="D127" i="5"/>
  <c r="B128" i="5"/>
  <c r="C128" i="5"/>
  <c r="D128" i="5"/>
  <c r="B129" i="5"/>
  <c r="C129" i="5"/>
  <c r="D129" i="5"/>
  <c r="B130" i="5"/>
  <c r="C130" i="5"/>
  <c r="D130" i="5"/>
  <c r="B131" i="5"/>
  <c r="C131" i="5"/>
  <c r="D131" i="5"/>
  <c r="B132" i="5"/>
  <c r="C132" i="5"/>
  <c r="D132" i="5"/>
  <c r="B133" i="5"/>
  <c r="C133" i="5"/>
  <c r="D133" i="5"/>
  <c r="B134" i="5"/>
  <c r="C134" i="5"/>
  <c r="D134" i="5"/>
  <c r="B135" i="5"/>
  <c r="C135" i="5"/>
  <c r="D135" i="5"/>
  <c r="B136" i="5"/>
  <c r="C136" i="5"/>
  <c r="D136" i="5"/>
  <c r="B137" i="5"/>
  <c r="C137" i="5"/>
  <c r="D137" i="5"/>
  <c r="B138" i="5"/>
  <c r="C138" i="5"/>
  <c r="D138" i="5"/>
  <c r="B139" i="5"/>
  <c r="C139" i="5"/>
  <c r="D139" i="5"/>
  <c r="B140" i="5"/>
  <c r="C140" i="5"/>
  <c r="D140" i="5"/>
  <c r="B141" i="5"/>
  <c r="C141" i="5"/>
  <c r="D141" i="5"/>
  <c r="B142" i="5"/>
  <c r="C142" i="5"/>
  <c r="D142" i="5"/>
  <c r="B143" i="5"/>
  <c r="C143" i="5"/>
  <c r="D143" i="5"/>
  <c r="B144" i="5"/>
  <c r="C144" i="5"/>
  <c r="D144" i="5"/>
  <c r="B145" i="5"/>
  <c r="C145" i="5"/>
  <c r="D145" i="5"/>
  <c r="B146" i="5"/>
  <c r="C146" i="5"/>
  <c r="D146" i="5"/>
  <c r="B147" i="5"/>
  <c r="C147" i="5"/>
  <c r="D147" i="5"/>
  <c r="B148" i="5"/>
  <c r="C148" i="5"/>
  <c r="D148" i="5"/>
  <c r="B149" i="5"/>
  <c r="C149" i="5"/>
  <c r="D149" i="5"/>
  <c r="B150" i="5"/>
  <c r="C150" i="5"/>
  <c r="D150" i="5"/>
  <c r="B151" i="5"/>
  <c r="C151" i="5"/>
  <c r="D151" i="5"/>
  <c r="B152" i="5"/>
  <c r="C152" i="5"/>
  <c r="D152" i="5"/>
  <c r="B153" i="5"/>
  <c r="C153" i="5"/>
  <c r="D153" i="5"/>
  <c r="B154" i="5"/>
  <c r="C154" i="5"/>
  <c r="D154" i="5"/>
  <c r="B155" i="5"/>
  <c r="C155" i="5"/>
  <c r="D155" i="5"/>
  <c r="B156" i="5"/>
  <c r="C156" i="5"/>
  <c r="D156" i="5"/>
  <c r="B157" i="5"/>
  <c r="C157" i="5"/>
  <c r="D157" i="5"/>
  <c r="B158" i="5"/>
  <c r="C158" i="5"/>
  <c r="D158" i="5"/>
  <c r="B159" i="5"/>
  <c r="C159" i="5"/>
  <c r="D159" i="5"/>
  <c r="B160" i="5"/>
  <c r="C160" i="5"/>
  <c r="D160" i="5"/>
  <c r="B161" i="5"/>
  <c r="C161" i="5"/>
  <c r="D161" i="5"/>
  <c r="B162" i="5"/>
  <c r="C162" i="5"/>
  <c r="D162" i="5"/>
  <c r="B163" i="5"/>
  <c r="C163" i="5"/>
  <c r="D163" i="5"/>
  <c r="B164" i="5"/>
  <c r="C164" i="5"/>
  <c r="D164" i="5"/>
  <c r="B165" i="5"/>
  <c r="C165" i="5"/>
  <c r="D165" i="5"/>
  <c r="B166" i="5"/>
  <c r="C166" i="5"/>
  <c r="D166" i="5"/>
  <c r="B167" i="5"/>
  <c r="C167" i="5"/>
  <c r="D167" i="5"/>
  <c r="B168" i="5"/>
  <c r="C168" i="5"/>
  <c r="D168" i="5"/>
  <c r="B169" i="5"/>
  <c r="C169" i="5"/>
  <c r="D169" i="5"/>
  <c r="B170" i="5"/>
  <c r="C170" i="5"/>
  <c r="D170" i="5"/>
  <c r="B171" i="5"/>
  <c r="C171" i="5"/>
  <c r="D171" i="5"/>
  <c r="B172" i="5"/>
  <c r="C172" i="5"/>
  <c r="D172" i="5"/>
  <c r="B173" i="5"/>
  <c r="C173" i="5"/>
  <c r="D173" i="5"/>
  <c r="B174" i="5"/>
  <c r="C174" i="5"/>
  <c r="D174" i="5"/>
  <c r="B175" i="5"/>
  <c r="C175" i="5"/>
  <c r="D175" i="5"/>
  <c r="B176" i="5"/>
  <c r="C176" i="5"/>
  <c r="D176" i="5"/>
  <c r="B177" i="5"/>
  <c r="C177" i="5"/>
  <c r="D177" i="5"/>
  <c r="B178" i="5"/>
  <c r="C178" i="5"/>
  <c r="D178" i="5"/>
  <c r="B179" i="5"/>
  <c r="C179" i="5"/>
  <c r="D179" i="5"/>
  <c r="B180" i="5"/>
  <c r="C180" i="5"/>
  <c r="D180" i="5"/>
  <c r="B181" i="5"/>
  <c r="C181" i="5"/>
  <c r="D181" i="5"/>
  <c r="B182" i="5"/>
  <c r="C182" i="5"/>
  <c r="D182" i="5"/>
  <c r="B183" i="5"/>
  <c r="C183" i="5"/>
  <c r="D183" i="5"/>
  <c r="B184" i="5"/>
  <c r="C184" i="5"/>
  <c r="D184" i="5"/>
  <c r="B185" i="5"/>
  <c r="C185" i="5"/>
  <c r="D185" i="5"/>
  <c r="B186" i="5"/>
  <c r="C186" i="5"/>
  <c r="D186" i="5"/>
  <c r="B187" i="5"/>
  <c r="C187" i="5"/>
  <c r="D187" i="5"/>
  <c r="B188" i="5"/>
  <c r="C188" i="5"/>
  <c r="D188" i="5"/>
  <c r="B189" i="5"/>
  <c r="C189" i="5"/>
  <c r="D189" i="5"/>
  <c r="B190" i="5"/>
  <c r="C190" i="5"/>
  <c r="D190" i="5"/>
  <c r="B191" i="5"/>
  <c r="C191" i="5"/>
  <c r="D191" i="5"/>
  <c r="B192" i="5"/>
  <c r="C192" i="5"/>
  <c r="D192" i="5"/>
  <c r="B193" i="5"/>
  <c r="C193" i="5"/>
  <c r="D193" i="5"/>
  <c r="B194" i="5"/>
  <c r="C194" i="5"/>
  <c r="D194" i="5"/>
  <c r="B195" i="5"/>
  <c r="C195" i="5"/>
  <c r="D195" i="5"/>
  <c r="B196" i="5"/>
  <c r="C196" i="5"/>
  <c r="D196" i="5"/>
  <c r="B197" i="5"/>
  <c r="C197" i="5"/>
  <c r="D197" i="5"/>
  <c r="B198" i="5"/>
  <c r="C198" i="5"/>
  <c r="D198" i="5"/>
  <c r="B199" i="5"/>
  <c r="C199" i="5"/>
  <c r="D199" i="5"/>
  <c r="B200" i="5"/>
  <c r="C200" i="5"/>
  <c r="D200" i="5"/>
  <c r="B201" i="5"/>
  <c r="C201" i="5"/>
  <c r="D201" i="5"/>
  <c r="B202" i="5"/>
  <c r="C202" i="5"/>
  <c r="D202" i="5"/>
  <c r="B203" i="5"/>
  <c r="C203" i="5"/>
  <c r="D203" i="5"/>
  <c r="B204" i="5"/>
  <c r="C204" i="5"/>
  <c r="D204" i="5"/>
  <c r="B205" i="5"/>
  <c r="C205" i="5"/>
  <c r="D205" i="5"/>
  <c r="B206" i="5"/>
  <c r="C206" i="5"/>
  <c r="D206" i="5"/>
  <c r="B207" i="5"/>
  <c r="C207" i="5"/>
  <c r="D207" i="5"/>
  <c r="B208" i="5"/>
  <c r="C208" i="5"/>
  <c r="D208" i="5"/>
  <c r="B209" i="5"/>
  <c r="C209" i="5"/>
  <c r="D209" i="5"/>
  <c r="B210" i="5"/>
  <c r="C210" i="5"/>
  <c r="D210" i="5"/>
  <c r="B211" i="5"/>
  <c r="C211" i="5"/>
  <c r="D211" i="5"/>
  <c r="B212" i="5"/>
  <c r="C212" i="5"/>
  <c r="D212" i="5"/>
  <c r="B213" i="5"/>
  <c r="C213" i="5"/>
  <c r="D213" i="5"/>
  <c r="B214" i="5"/>
  <c r="C214" i="5"/>
  <c r="D214" i="5"/>
  <c r="B215" i="5"/>
  <c r="C215" i="5"/>
  <c r="D215" i="5"/>
  <c r="B216" i="5"/>
  <c r="C216" i="5"/>
  <c r="D216" i="5"/>
  <c r="B217" i="5"/>
  <c r="C217" i="5"/>
  <c r="D217" i="5"/>
  <c r="B218" i="5"/>
  <c r="C218" i="5"/>
  <c r="D218" i="5"/>
  <c r="B219" i="5"/>
  <c r="C219" i="5"/>
  <c r="D219" i="5"/>
  <c r="B220" i="5"/>
  <c r="C220" i="5"/>
  <c r="D220" i="5"/>
  <c r="B221" i="5"/>
  <c r="C221" i="5"/>
  <c r="D221" i="5"/>
  <c r="B222" i="5"/>
  <c r="C222" i="5"/>
  <c r="D222" i="5"/>
  <c r="B223" i="5"/>
  <c r="C223" i="5"/>
  <c r="D223" i="5"/>
  <c r="B224" i="5"/>
  <c r="C224" i="5"/>
  <c r="D224" i="5"/>
  <c r="B225" i="5"/>
  <c r="C225" i="5"/>
  <c r="D225" i="5"/>
  <c r="B226" i="5"/>
  <c r="C226" i="5"/>
  <c r="D226" i="5"/>
  <c r="B227" i="5"/>
  <c r="C227" i="5"/>
  <c r="D227" i="5"/>
  <c r="B228" i="5"/>
  <c r="C228" i="5"/>
  <c r="D228" i="5"/>
  <c r="B229" i="5"/>
  <c r="C229" i="5"/>
  <c r="D229" i="5"/>
  <c r="B230" i="5"/>
  <c r="C230" i="5"/>
  <c r="D230" i="5"/>
  <c r="B231" i="5"/>
  <c r="C231" i="5"/>
  <c r="D231" i="5"/>
  <c r="B232" i="5"/>
  <c r="C232" i="5"/>
  <c r="D232" i="5"/>
  <c r="B233" i="5"/>
  <c r="C233" i="5"/>
  <c r="D233" i="5"/>
  <c r="B234" i="5"/>
  <c r="C234" i="5"/>
  <c r="D234" i="5"/>
  <c r="B235" i="5"/>
  <c r="C235" i="5"/>
  <c r="D235" i="5"/>
  <c r="B236" i="5"/>
  <c r="C236" i="5"/>
  <c r="D236" i="5"/>
  <c r="B237" i="5"/>
  <c r="C237" i="5"/>
  <c r="D237" i="5"/>
  <c r="B238" i="5"/>
  <c r="C238" i="5"/>
  <c r="D238" i="5"/>
  <c r="B239" i="5"/>
  <c r="C239" i="5"/>
  <c r="D239" i="5"/>
  <c r="B240" i="5"/>
  <c r="C240" i="5"/>
  <c r="D240" i="5"/>
  <c r="B241" i="5"/>
  <c r="C241" i="5"/>
  <c r="D241" i="5"/>
  <c r="B242" i="5"/>
  <c r="C242" i="5"/>
  <c r="D242" i="5"/>
  <c r="B243" i="5"/>
  <c r="C243" i="5"/>
  <c r="D243" i="5"/>
  <c r="B244" i="5"/>
  <c r="C244" i="5"/>
  <c r="D244" i="5"/>
  <c r="B245" i="5"/>
  <c r="C245" i="5"/>
  <c r="D245" i="5"/>
  <c r="B246" i="5"/>
  <c r="C246" i="5"/>
  <c r="D246" i="5"/>
  <c r="B247" i="5"/>
  <c r="C247" i="5"/>
  <c r="D247" i="5"/>
  <c r="B248" i="5"/>
  <c r="C248" i="5"/>
  <c r="D248" i="5"/>
  <c r="B249" i="5"/>
  <c r="C249" i="5"/>
  <c r="D249" i="5"/>
  <c r="B250" i="5"/>
  <c r="C250" i="5"/>
  <c r="D250" i="5"/>
  <c r="B251" i="5"/>
  <c r="C251" i="5"/>
  <c r="D251" i="5"/>
  <c r="B252" i="5"/>
  <c r="C252" i="5"/>
  <c r="D252" i="5"/>
  <c r="B253" i="5"/>
  <c r="C253" i="5"/>
  <c r="D253" i="5"/>
  <c r="B254" i="5"/>
  <c r="C254" i="5"/>
  <c r="D254" i="5"/>
  <c r="B255" i="5"/>
  <c r="C255" i="5"/>
  <c r="D255" i="5"/>
  <c r="B256" i="5"/>
  <c r="C256" i="5"/>
  <c r="D256" i="5"/>
  <c r="B257" i="5"/>
  <c r="C257" i="5"/>
  <c r="D257" i="5"/>
  <c r="B258" i="5"/>
  <c r="C258" i="5"/>
  <c r="D258" i="5"/>
  <c r="B259" i="5"/>
  <c r="C259" i="5"/>
  <c r="D259" i="5"/>
  <c r="B260" i="5"/>
  <c r="C260" i="5"/>
  <c r="D260" i="5"/>
  <c r="B261" i="5"/>
  <c r="C261" i="5"/>
  <c r="D261" i="5"/>
  <c r="B262" i="5"/>
  <c r="C262" i="5"/>
  <c r="D262" i="5"/>
  <c r="B263" i="5"/>
  <c r="C263" i="5"/>
  <c r="D263" i="5"/>
  <c r="B264" i="5"/>
  <c r="C264" i="5"/>
  <c r="D264" i="5"/>
  <c r="B265" i="5"/>
  <c r="C265" i="5"/>
  <c r="D265" i="5"/>
  <c r="B266" i="5"/>
  <c r="C266" i="5"/>
  <c r="D266" i="5"/>
  <c r="B267" i="5"/>
  <c r="C267" i="5"/>
  <c r="D267" i="5"/>
  <c r="B268" i="5"/>
  <c r="C268" i="5"/>
  <c r="D268" i="5"/>
  <c r="B269" i="5"/>
  <c r="C269" i="5"/>
  <c r="D269" i="5"/>
  <c r="B270" i="5"/>
  <c r="C270" i="5"/>
  <c r="D270" i="5"/>
  <c r="B271" i="5"/>
  <c r="C271" i="5"/>
  <c r="D271" i="5"/>
  <c r="B272" i="5"/>
  <c r="C272" i="5"/>
  <c r="D272" i="5"/>
  <c r="B273" i="5"/>
  <c r="C273" i="5"/>
  <c r="D273" i="5"/>
  <c r="B274" i="5"/>
  <c r="C274" i="5"/>
  <c r="D274" i="5"/>
  <c r="B275" i="5"/>
  <c r="C275" i="5"/>
  <c r="D275" i="5"/>
  <c r="B276" i="5"/>
  <c r="C276" i="5"/>
  <c r="D276" i="5"/>
  <c r="B277" i="5"/>
  <c r="C277" i="5"/>
  <c r="D277" i="5"/>
  <c r="B278" i="5"/>
  <c r="C278" i="5"/>
  <c r="D278" i="5"/>
  <c r="D862" i="5" s="1"/>
  <c r="B279" i="5"/>
  <c r="C279" i="5"/>
  <c r="D279" i="5"/>
  <c r="B280" i="5"/>
  <c r="C280" i="5"/>
  <c r="D280" i="5"/>
  <c r="B281" i="5"/>
  <c r="C281" i="5"/>
  <c r="D281" i="5"/>
  <c r="B282" i="5"/>
  <c r="C282" i="5"/>
  <c r="D282" i="5"/>
  <c r="B283" i="5"/>
  <c r="C283" i="5"/>
  <c r="D283" i="5"/>
  <c r="B284" i="5"/>
  <c r="C284" i="5"/>
  <c r="D284" i="5"/>
  <c r="B285" i="5"/>
  <c r="C285" i="5"/>
  <c r="D285" i="5"/>
  <c r="B286" i="5"/>
  <c r="C286" i="5"/>
  <c r="D286" i="5"/>
  <c r="B287" i="5"/>
  <c r="C287" i="5"/>
  <c r="D287" i="5"/>
  <c r="B288" i="5"/>
  <c r="C288" i="5"/>
  <c r="D288" i="5"/>
  <c r="B289" i="5"/>
  <c r="C289" i="5"/>
  <c r="D289" i="5"/>
  <c r="B290" i="5"/>
  <c r="C290" i="5"/>
  <c r="D290" i="5"/>
  <c r="B291" i="5"/>
  <c r="C291" i="5"/>
  <c r="D291" i="5"/>
  <c r="B292" i="5"/>
  <c r="C292" i="5"/>
  <c r="D292" i="5"/>
  <c r="B293" i="5"/>
  <c r="C293" i="5"/>
  <c r="D293" i="5"/>
  <c r="B294" i="5"/>
  <c r="C294" i="5"/>
  <c r="D294" i="5"/>
  <c r="B295" i="5"/>
  <c r="C295" i="5"/>
  <c r="D295" i="5"/>
  <c r="B296" i="5"/>
  <c r="C296" i="5"/>
  <c r="D296" i="5"/>
  <c r="B297" i="5"/>
  <c r="C297" i="5"/>
  <c r="D297" i="5"/>
  <c r="B298" i="5"/>
  <c r="C298" i="5"/>
  <c r="D298" i="5"/>
  <c r="B299" i="5"/>
  <c r="C299" i="5"/>
  <c r="D299" i="5"/>
  <c r="B300" i="5"/>
  <c r="C300" i="5"/>
  <c r="D300" i="5"/>
  <c r="B301" i="5"/>
  <c r="C301" i="5"/>
  <c r="D301" i="5"/>
  <c r="B302" i="5"/>
  <c r="C302" i="5"/>
  <c r="D302" i="5"/>
  <c r="B303" i="5"/>
  <c r="C303" i="5"/>
  <c r="D303" i="5"/>
  <c r="B304" i="5"/>
  <c r="C304" i="5"/>
  <c r="D304" i="5"/>
  <c r="B305" i="5"/>
  <c r="C305" i="5"/>
  <c r="D305" i="5"/>
  <c r="B306" i="5"/>
  <c r="C306" i="5"/>
  <c r="D306" i="5"/>
  <c r="B307" i="5"/>
  <c r="C307" i="5"/>
  <c r="D307" i="5"/>
  <c r="B308" i="5"/>
  <c r="C308" i="5"/>
  <c r="D308" i="5"/>
  <c r="B309" i="5"/>
  <c r="C309" i="5"/>
  <c r="D309" i="5"/>
  <c r="B310" i="5"/>
  <c r="C310" i="5"/>
  <c r="D310" i="5"/>
  <c r="B311" i="5"/>
  <c r="C311" i="5"/>
  <c r="D311" i="5"/>
  <c r="B312" i="5"/>
  <c r="C312" i="5"/>
  <c r="D312" i="5"/>
  <c r="B313" i="5"/>
  <c r="C313" i="5"/>
  <c r="D313" i="5"/>
  <c r="B314" i="5"/>
  <c r="C314" i="5"/>
  <c r="D314" i="5"/>
  <c r="B315" i="5"/>
  <c r="C315" i="5"/>
  <c r="D315" i="5"/>
  <c r="B316" i="5"/>
  <c r="C316" i="5"/>
  <c r="D316" i="5"/>
  <c r="B317" i="5"/>
  <c r="C317" i="5"/>
  <c r="D317" i="5"/>
  <c r="B318" i="5"/>
  <c r="C318" i="5"/>
  <c r="D318" i="5"/>
  <c r="B319" i="5"/>
  <c r="C319" i="5"/>
  <c r="D319" i="5"/>
  <c r="B320" i="5"/>
  <c r="C320" i="5"/>
  <c r="D320" i="5"/>
  <c r="B321" i="5"/>
  <c r="C321" i="5"/>
  <c r="D321" i="5"/>
  <c r="B322" i="5"/>
  <c r="C322" i="5"/>
  <c r="D322" i="5"/>
  <c r="B323" i="5"/>
  <c r="C323" i="5"/>
  <c r="D323" i="5"/>
  <c r="B324" i="5"/>
  <c r="C324" i="5"/>
  <c r="D324" i="5"/>
  <c r="B325" i="5"/>
  <c r="C325" i="5"/>
  <c r="D325" i="5"/>
  <c r="B326" i="5"/>
  <c r="C326" i="5"/>
  <c r="D326" i="5"/>
  <c r="B327" i="5"/>
  <c r="C327" i="5"/>
  <c r="D327" i="5"/>
  <c r="B328" i="5"/>
  <c r="C328" i="5"/>
  <c r="D328" i="5"/>
  <c r="B329" i="5"/>
  <c r="C329" i="5"/>
  <c r="D329" i="5"/>
  <c r="B330" i="5"/>
  <c r="C330" i="5"/>
  <c r="D330" i="5"/>
  <c r="B331" i="5"/>
  <c r="C331" i="5"/>
  <c r="D331" i="5"/>
  <c r="B332" i="5"/>
  <c r="C332" i="5"/>
  <c r="D332" i="5"/>
  <c r="B333" i="5"/>
  <c r="C333" i="5"/>
  <c r="D333" i="5"/>
  <c r="B334" i="5"/>
  <c r="C334" i="5"/>
  <c r="D334" i="5"/>
  <c r="B335" i="5"/>
  <c r="C335" i="5"/>
  <c r="D335" i="5"/>
  <c r="B336" i="5"/>
  <c r="C336" i="5"/>
  <c r="D336" i="5"/>
  <c r="B337" i="5"/>
  <c r="C337" i="5"/>
  <c r="D337" i="5"/>
  <c r="B338" i="5"/>
  <c r="C338" i="5"/>
  <c r="D338" i="5"/>
  <c r="B339" i="5"/>
  <c r="C339" i="5"/>
  <c r="D339" i="5"/>
  <c r="B340" i="5"/>
  <c r="C340" i="5"/>
  <c r="D340" i="5"/>
  <c r="B341" i="5"/>
  <c r="C341" i="5"/>
  <c r="D341" i="5"/>
  <c r="B342" i="5"/>
  <c r="C342" i="5"/>
  <c r="D342" i="5"/>
  <c r="B343" i="5"/>
  <c r="C343" i="5"/>
  <c r="D343" i="5"/>
  <c r="B344" i="5"/>
  <c r="C344" i="5"/>
  <c r="D344" i="5"/>
  <c r="H4" i="5"/>
  <c r="D4" i="5"/>
  <c r="C4" i="5"/>
  <c r="B4" i="5"/>
  <c r="K2" i="5"/>
  <c r="F45" i="5" l="1"/>
  <c r="F302" i="5" l="1"/>
  <c r="F303" i="5"/>
  <c r="E4" i="5"/>
  <c r="E5" i="5" s="1"/>
  <c r="F323" i="5" l="1"/>
  <c r="F319" i="5"/>
  <c r="F315" i="5"/>
  <c r="F311" i="5"/>
  <c r="F307" i="5"/>
  <c r="F325" i="5"/>
  <c r="F320" i="5"/>
  <c r="F316" i="5"/>
  <c r="F313" i="5"/>
  <c r="F308" i="5"/>
  <c r="F305" i="5"/>
  <c r="F322" i="5"/>
  <c r="F318" i="5"/>
  <c r="F314" i="5"/>
  <c r="F310" i="5"/>
  <c r="F306" i="5"/>
  <c r="F321" i="5"/>
  <c r="F317" i="5"/>
  <c r="F309" i="5"/>
  <c r="F324" i="5"/>
  <c r="F312" i="5"/>
  <c r="F304" i="5"/>
  <c r="H889" i="5"/>
  <c r="H888" i="5"/>
  <c r="H887" i="5"/>
  <c r="H862" i="5"/>
  <c r="C862" i="5"/>
  <c r="B86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G5" i="5"/>
  <c r="F5" i="5"/>
  <c r="E6" i="5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59" i="5" s="1"/>
  <c r="E60" i="5" s="1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73" i="5" s="1"/>
  <c r="E74" i="5" s="1"/>
  <c r="E75" i="5" s="1"/>
  <c r="E76" i="5" s="1"/>
  <c r="E77" i="5" s="1"/>
  <c r="E78" i="5" s="1"/>
  <c r="E79" i="5" s="1"/>
  <c r="E80" i="5" s="1"/>
  <c r="E81" i="5" s="1"/>
  <c r="E82" i="5" s="1"/>
  <c r="E83" i="5" s="1"/>
  <c r="E84" i="5" s="1"/>
  <c r="E85" i="5" s="1"/>
  <c r="E86" i="5" s="1"/>
  <c r="E87" i="5" s="1"/>
  <c r="E88" i="5" s="1"/>
  <c r="E89" i="5" s="1"/>
  <c r="E90" i="5" s="1"/>
  <c r="E91" i="5" s="1"/>
  <c r="E92" i="5" s="1"/>
  <c r="E93" i="5" s="1"/>
  <c r="E94" i="5" s="1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E105" i="5" s="1"/>
  <c r="E106" i="5" s="1"/>
  <c r="E107" i="5" s="1"/>
  <c r="E108" i="5" s="1"/>
  <c r="E109" i="5" s="1"/>
  <c r="E110" i="5" s="1"/>
  <c r="E111" i="5" s="1"/>
  <c r="E112" i="5" s="1"/>
  <c r="E113" i="5" s="1"/>
  <c r="E114" i="5" s="1"/>
  <c r="E115" i="5" s="1"/>
  <c r="E116" i="5" s="1"/>
  <c r="E117" i="5" s="1"/>
  <c r="E118" i="5" s="1"/>
  <c r="E119" i="5" s="1"/>
  <c r="E120" i="5" s="1"/>
  <c r="E121" i="5" s="1"/>
  <c r="E122" i="5" s="1"/>
  <c r="E124" i="5" s="1"/>
  <c r="E125" i="5" s="1"/>
  <c r="E126" i="5" s="1"/>
  <c r="E127" i="5" s="1"/>
  <c r="E128" i="5" s="1"/>
  <c r="E129" i="5" s="1"/>
  <c r="E130" i="5" s="1"/>
  <c r="E131" i="5" s="1"/>
  <c r="E132" i="5" s="1"/>
  <c r="E133" i="5" s="1"/>
  <c r="E134" i="5" s="1"/>
  <c r="E135" i="5" s="1"/>
  <c r="E136" i="5" s="1"/>
  <c r="E137" i="5" s="1"/>
  <c r="E138" i="5" s="1"/>
  <c r="E139" i="5" s="1"/>
  <c r="E140" i="5" s="1"/>
  <c r="E141" i="5" s="1"/>
  <c r="E142" i="5" s="1"/>
  <c r="E143" i="5" s="1"/>
  <c r="E144" i="5" s="1"/>
  <c r="E145" i="5" s="1"/>
  <c r="E146" i="5" s="1"/>
  <c r="E147" i="5" s="1"/>
  <c r="E148" i="5" s="1"/>
  <c r="E149" i="5" s="1"/>
  <c r="E150" i="5" s="1"/>
  <c r="E151" i="5" s="1"/>
  <c r="E152" i="5" s="1"/>
  <c r="E153" i="5" s="1"/>
  <c r="E154" i="5" s="1"/>
  <c r="E155" i="5" s="1"/>
  <c r="E156" i="5" s="1"/>
  <c r="E157" i="5" s="1"/>
  <c r="E158" i="5" s="1"/>
  <c r="E159" i="5" s="1"/>
  <c r="E160" i="5" s="1"/>
  <c r="E161" i="5" s="1"/>
  <c r="E162" i="5" s="1"/>
  <c r="E163" i="5" s="1"/>
  <c r="E164" i="5" s="1"/>
  <c r="E165" i="5" s="1"/>
  <c r="E166" i="5" s="1"/>
  <c r="E167" i="5" s="1"/>
  <c r="E168" i="5" s="1"/>
  <c r="E169" i="5" s="1"/>
  <c r="E170" i="5" s="1"/>
  <c r="E171" i="5" s="1"/>
  <c r="E172" i="5" s="1"/>
  <c r="E173" i="5" s="1"/>
  <c r="E174" i="5" s="1"/>
  <c r="E175" i="5" s="1"/>
  <c r="E176" i="5" s="1"/>
  <c r="E177" i="5" s="1"/>
  <c r="E178" i="5" s="1"/>
  <c r="E179" i="5" s="1"/>
  <c r="E180" i="5" s="1"/>
  <c r="E181" i="5" s="1"/>
  <c r="E182" i="5" s="1"/>
  <c r="E183" i="5" s="1"/>
  <c r="E184" i="5" s="1"/>
  <c r="E185" i="5" s="1"/>
  <c r="E186" i="5" s="1"/>
  <c r="E187" i="5" s="1"/>
  <c r="E188" i="5" s="1"/>
  <c r="E189" i="5" s="1"/>
  <c r="E190" i="5" s="1"/>
  <c r="E191" i="5" s="1"/>
  <c r="E192" i="5" s="1"/>
  <c r="E193" i="5" s="1"/>
  <c r="E194" i="5" s="1"/>
  <c r="E195" i="5" s="1"/>
  <c r="E196" i="5" s="1"/>
  <c r="E197" i="5" s="1"/>
  <c r="E198" i="5" s="1"/>
  <c r="E199" i="5" s="1"/>
  <c r="E200" i="5" s="1"/>
  <c r="E201" i="5" s="1"/>
  <c r="E202" i="5" s="1"/>
  <c r="E203" i="5" s="1"/>
  <c r="E204" i="5" s="1"/>
  <c r="E205" i="5" s="1"/>
  <c r="E206" i="5" s="1"/>
  <c r="E207" i="5" s="1"/>
  <c r="E208" i="5" s="1"/>
  <c r="E209" i="5" s="1"/>
  <c r="E210" i="5" s="1"/>
  <c r="E211" i="5" s="1"/>
  <c r="E212" i="5" s="1"/>
  <c r="E213" i="5" s="1"/>
  <c r="E214" i="5" s="1"/>
  <c r="E215" i="5" s="1"/>
  <c r="E216" i="5" s="1"/>
  <c r="E217" i="5" s="1"/>
  <c r="E218" i="5" s="1"/>
  <c r="E219" i="5" s="1"/>
  <c r="E220" i="5" s="1"/>
  <c r="E221" i="5" s="1"/>
  <c r="E222" i="5" s="1"/>
  <c r="E223" i="5" s="1"/>
  <c r="E224" i="5" s="1"/>
  <c r="E225" i="5" s="1"/>
  <c r="E226" i="5" s="1"/>
  <c r="E227" i="5" s="1"/>
  <c r="E228" i="5" s="1"/>
  <c r="E229" i="5" s="1"/>
  <c r="E230" i="5" s="1"/>
  <c r="E231" i="5" s="1"/>
  <c r="E232" i="5" s="1"/>
  <c r="E233" i="5" s="1"/>
  <c r="E234" i="5" s="1"/>
  <c r="E235" i="5" s="1"/>
  <c r="E236" i="5" s="1"/>
  <c r="E237" i="5" s="1"/>
  <c r="E238" i="5" s="1"/>
  <c r="E239" i="5" s="1"/>
  <c r="E240" i="5" s="1"/>
  <c r="E241" i="5" s="1"/>
  <c r="E242" i="5" s="1"/>
  <c r="E243" i="5" s="1"/>
  <c r="E244" i="5" s="1"/>
  <c r="E245" i="5" s="1"/>
  <c r="E246" i="5" s="1"/>
  <c r="E247" i="5" s="1"/>
  <c r="E248" i="5" s="1"/>
  <c r="E249" i="5" s="1"/>
  <c r="E250" i="5" s="1"/>
  <c r="E251" i="5" s="1"/>
  <c r="E252" i="5" s="1"/>
  <c r="E253" i="5" s="1"/>
  <c r="E254" i="5" s="1"/>
  <c r="E255" i="5" s="1"/>
  <c r="E256" i="5" s="1"/>
  <c r="E257" i="5" s="1"/>
  <c r="E258" i="5" s="1"/>
  <c r="E259" i="5" s="1"/>
  <c r="E260" i="5" s="1"/>
  <c r="E261" i="5" s="1"/>
  <c r="E262" i="5" s="1"/>
  <c r="E263" i="5" s="1"/>
  <c r="E264" i="5" s="1"/>
  <c r="E265" i="5" s="1"/>
  <c r="E266" i="5" s="1"/>
  <c r="E267" i="5" s="1"/>
  <c r="E268" i="5" s="1"/>
  <c r="E269" i="5" s="1"/>
  <c r="E270" i="5" s="1"/>
  <c r="E271" i="5" s="1"/>
  <c r="E272" i="5" s="1"/>
  <c r="E273" i="5" s="1"/>
  <c r="E274" i="5" s="1"/>
  <c r="E275" i="5" s="1"/>
  <c r="E276" i="5" s="1"/>
  <c r="E277" i="5" s="1"/>
  <c r="E278" i="5" s="1"/>
  <c r="J2" i="5"/>
  <c r="J1" i="5"/>
  <c r="F866" i="5" l="1"/>
  <c r="F880" i="5"/>
  <c r="F889" i="5"/>
  <c r="G868" i="5"/>
  <c r="G872" i="5"/>
  <c r="G873" i="5"/>
  <c r="G875" i="5"/>
  <c r="G876" i="5"/>
  <c r="G877" i="5"/>
  <c r="G879" i="5"/>
  <c r="G881" i="5"/>
  <c r="G883" i="5"/>
  <c r="G884" i="5"/>
  <c r="G885" i="5"/>
  <c r="G887" i="5"/>
  <c r="G888" i="5"/>
  <c r="G889" i="5"/>
  <c r="G865" i="5"/>
  <c r="G880" i="5"/>
  <c r="H880" i="5" s="1"/>
  <c r="F870" i="5"/>
  <c r="G871" i="5"/>
  <c r="F869" i="5"/>
  <c r="F871" i="5"/>
  <c r="F873" i="5"/>
  <c r="F874" i="5"/>
  <c r="F875" i="5"/>
  <c r="F877" i="5"/>
  <c r="H877" i="5" s="1"/>
  <c r="F878" i="5"/>
  <c r="F879" i="5"/>
  <c r="F881" i="5"/>
  <c r="F882" i="5"/>
  <c r="F883" i="5"/>
  <c r="H883" i="5" s="1"/>
  <c r="F885" i="5"/>
  <c r="F886" i="5"/>
  <c r="F887" i="5"/>
  <c r="E862" i="5"/>
  <c r="E279" i="5"/>
  <c r="E280" i="5" s="1"/>
  <c r="E281" i="5" s="1"/>
  <c r="E282" i="5" s="1"/>
  <c r="E283" i="5" s="1"/>
  <c r="E284" i="5" s="1"/>
  <c r="E285" i="5" s="1"/>
  <c r="E286" i="5" s="1"/>
  <c r="E287" i="5" s="1"/>
  <c r="E288" i="5" s="1"/>
  <c r="E289" i="5" s="1"/>
  <c r="E290" i="5" s="1"/>
  <c r="E291" i="5" s="1"/>
  <c r="E292" i="5" s="1"/>
  <c r="E293" i="5" s="1"/>
  <c r="E294" i="5" s="1"/>
  <c r="E295" i="5" s="1"/>
  <c r="E296" i="5" s="1"/>
  <c r="E297" i="5" s="1"/>
  <c r="E298" i="5" s="1"/>
  <c r="E299" i="5" s="1"/>
  <c r="E300" i="5" s="1"/>
  <c r="E301" i="5" s="1"/>
  <c r="E302" i="5" s="1"/>
  <c r="E303" i="5" s="1"/>
  <c r="G867" i="5"/>
  <c r="H882" i="5"/>
  <c r="F867" i="5"/>
  <c r="G866" i="5"/>
  <c r="G869" i="5"/>
  <c r="G870" i="5"/>
  <c r="F876" i="5"/>
  <c r="H876" i="5" s="1"/>
  <c r="F884" i="5"/>
  <c r="H884" i="5" s="1"/>
  <c r="F888" i="5"/>
  <c r="F865" i="5"/>
  <c r="F868" i="5"/>
  <c r="F872" i="5"/>
  <c r="H872" i="5" s="1"/>
  <c r="G874" i="5"/>
  <c r="H874" i="5" s="1"/>
  <c r="G878" i="5"/>
  <c r="H878" i="5" s="1"/>
  <c r="G882" i="5"/>
  <c r="G886" i="5"/>
  <c r="Y92" i="2"/>
  <c r="Z30" i="2"/>
  <c r="Y87" i="2"/>
  <c r="Z87" i="2"/>
  <c r="Y75" i="2"/>
  <c r="Z75" i="2"/>
  <c r="Z66" i="2" s="1"/>
  <c r="Y76" i="2"/>
  <c r="Z77" i="2" s="1"/>
  <c r="Z79" i="2" s="1"/>
  <c r="Z76" i="2"/>
  <c r="Y80" i="2"/>
  <c r="Z80" i="2"/>
  <c r="Y72" i="2"/>
  <c r="Z72" i="2"/>
  <c r="Z92" i="2" s="1"/>
  <c r="Z65" i="2"/>
  <c r="Y64" i="2"/>
  <c r="Z64" i="2"/>
  <c r="H873" i="5" l="1"/>
  <c r="E304" i="5"/>
  <c r="E305" i="5" s="1"/>
  <c r="E306" i="5" s="1"/>
  <c r="E307" i="5" s="1"/>
  <c r="E308" i="5" s="1"/>
  <c r="E309" i="5" s="1"/>
  <c r="E310" i="5" s="1"/>
  <c r="E311" i="5" s="1"/>
  <c r="E312" i="5" s="1"/>
  <c r="E313" i="5" s="1"/>
  <c r="E314" i="5" s="1"/>
  <c r="E315" i="5" s="1"/>
  <c r="E316" i="5" s="1"/>
  <c r="E317" i="5" s="1"/>
  <c r="E318" i="5" s="1"/>
  <c r="E319" i="5" s="1"/>
  <c r="E320" i="5" s="1"/>
  <c r="E321" i="5" s="1"/>
  <c r="E322" i="5" s="1"/>
  <c r="E323" i="5" s="1"/>
  <c r="E324" i="5" s="1"/>
  <c r="E325" i="5" s="1"/>
  <c r="H870" i="5"/>
  <c r="H881" i="5"/>
  <c r="H875" i="5"/>
  <c r="H868" i="5"/>
  <c r="H885" i="5"/>
  <c r="H879" i="5"/>
  <c r="H886" i="5"/>
  <c r="H869" i="5"/>
  <c r="G890" i="5"/>
  <c r="H871" i="5"/>
  <c r="F890" i="5"/>
  <c r="H865" i="5"/>
  <c r="H867" i="5"/>
  <c r="H866" i="5"/>
  <c r="Y97" i="2"/>
  <c r="Z67" i="2"/>
  <c r="Z73" i="2"/>
  <c r="Y22" i="2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Z22" i="2"/>
  <c r="Z39" i="2" s="1"/>
  <c r="Y19" i="2"/>
  <c r="Z19" i="2"/>
  <c r="Y20" i="2"/>
  <c r="Z20" i="2"/>
  <c r="X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C87" i="2"/>
  <c r="W156" i="2"/>
  <c r="C182" i="2"/>
  <c r="D182" i="2" s="1"/>
  <c r="E182" i="2" s="1"/>
  <c r="F182" i="2" s="1"/>
  <c r="G182" i="2" s="1"/>
  <c r="H182" i="2" s="1"/>
  <c r="I182" i="2" s="1"/>
  <c r="J182" i="2" s="1"/>
  <c r="K182" i="2" s="1"/>
  <c r="L182" i="2" s="1"/>
  <c r="M182" i="2" s="1"/>
  <c r="N182" i="2" s="1"/>
  <c r="O182" i="2" s="1"/>
  <c r="P182" i="2" s="1"/>
  <c r="Q182" i="2" s="1"/>
  <c r="R182" i="2" s="1"/>
  <c r="S182" i="2" s="1"/>
  <c r="T182" i="2" s="1"/>
  <c r="U182" i="2" s="1"/>
  <c r="V182" i="2" s="1"/>
  <c r="W182" i="2" s="1"/>
  <c r="X182" i="2" s="1"/>
  <c r="Y182" i="2" s="1"/>
  <c r="Z182" i="2" s="1"/>
  <c r="B185" i="2"/>
  <c r="V176" i="2"/>
  <c r="V175" i="2"/>
  <c r="U175" i="2"/>
  <c r="V174" i="2"/>
  <c r="U174" i="2"/>
  <c r="T174" i="2"/>
  <c r="V173" i="2"/>
  <c r="U173" i="2"/>
  <c r="T173" i="2"/>
  <c r="S173" i="2"/>
  <c r="V172" i="2"/>
  <c r="U172" i="2"/>
  <c r="T172" i="2"/>
  <c r="S172" i="2"/>
  <c r="R172" i="2"/>
  <c r="V171" i="2"/>
  <c r="U171" i="2"/>
  <c r="T171" i="2"/>
  <c r="S171" i="2"/>
  <c r="R171" i="2"/>
  <c r="Q171" i="2"/>
  <c r="V170" i="2"/>
  <c r="U170" i="2"/>
  <c r="T170" i="2"/>
  <c r="S170" i="2"/>
  <c r="R170" i="2"/>
  <c r="Q170" i="2"/>
  <c r="P170" i="2"/>
  <c r="V169" i="2"/>
  <c r="U169" i="2"/>
  <c r="T169" i="2"/>
  <c r="S169" i="2"/>
  <c r="R169" i="2"/>
  <c r="Q169" i="2"/>
  <c r="P169" i="2"/>
  <c r="O169" i="2"/>
  <c r="V168" i="2"/>
  <c r="U168" i="2"/>
  <c r="T168" i="2"/>
  <c r="S168" i="2"/>
  <c r="R168" i="2"/>
  <c r="Q168" i="2"/>
  <c r="P168" i="2"/>
  <c r="O168" i="2"/>
  <c r="N168" i="2"/>
  <c r="V167" i="2"/>
  <c r="U167" i="2"/>
  <c r="T167" i="2"/>
  <c r="S167" i="2"/>
  <c r="R167" i="2"/>
  <c r="Q167" i="2"/>
  <c r="P167" i="2"/>
  <c r="O167" i="2"/>
  <c r="N167" i="2"/>
  <c r="M167" i="2"/>
  <c r="V166" i="2"/>
  <c r="U166" i="2"/>
  <c r="T166" i="2"/>
  <c r="S166" i="2"/>
  <c r="R166" i="2"/>
  <c r="Q166" i="2"/>
  <c r="P166" i="2"/>
  <c r="O166" i="2"/>
  <c r="N166" i="2"/>
  <c r="M166" i="2"/>
  <c r="L166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W177" i="2"/>
  <c r="W176" i="2"/>
  <c r="W175" i="2"/>
  <c r="W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B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C115" i="2"/>
  <c r="D115" i="2" s="1"/>
  <c r="E115" i="2" s="1"/>
  <c r="F115" i="2" s="1"/>
  <c r="G115" i="2"/>
  <c r="H115" i="2" s="1"/>
  <c r="I115" i="2" s="1"/>
  <c r="J115" i="2" s="1"/>
  <c r="K115" i="2" s="1"/>
  <c r="L115" i="2"/>
  <c r="M115" i="2" s="1"/>
  <c r="N115" i="2" s="1"/>
  <c r="O115" i="2" s="1"/>
  <c r="P115" i="2" s="1"/>
  <c r="Q115" i="2" s="1"/>
  <c r="R115" i="2" s="1"/>
  <c r="S115" i="2" s="1"/>
  <c r="T115" i="2" s="1"/>
  <c r="U115" i="2" s="1"/>
  <c r="V115" i="2" s="1"/>
  <c r="W115" i="2" s="1"/>
  <c r="X115" i="2" s="1"/>
  <c r="Y115" i="2" s="1"/>
  <c r="Z115" i="2" s="1"/>
  <c r="B114" i="2"/>
  <c r="B113" i="2"/>
  <c r="C113" i="2"/>
  <c r="D113" i="2" s="1"/>
  <c r="E113" i="2" s="1"/>
  <c r="F113" i="2" s="1"/>
  <c r="G113" i="2" s="1"/>
  <c r="H113" i="2"/>
  <c r="I113" i="2" s="1"/>
  <c r="J113" i="2" s="1"/>
  <c r="K113" i="2" s="1"/>
  <c r="L113" i="2" s="1"/>
  <c r="M113" i="2" s="1"/>
  <c r="N113" i="2" s="1"/>
  <c r="O113" i="2" s="1"/>
  <c r="P113" i="2" s="1"/>
  <c r="Q113" i="2" s="1"/>
  <c r="R113" i="2" s="1"/>
  <c r="S113" i="2" s="1"/>
  <c r="T113" i="2" s="1"/>
  <c r="U113" i="2" s="1"/>
  <c r="V113" i="2" s="1"/>
  <c r="W113" i="2" s="1"/>
  <c r="X113" i="2" s="1"/>
  <c r="Y113" i="2" s="1"/>
  <c r="Z113" i="2" s="1"/>
  <c r="C80" i="2"/>
  <c r="D80" i="2"/>
  <c r="E80" i="2"/>
  <c r="F80" i="2"/>
  <c r="G80" i="2"/>
  <c r="F107" i="2" s="1"/>
  <c r="H80" i="2"/>
  <c r="I80" i="2"/>
  <c r="J80" i="2"/>
  <c r="K80" i="2"/>
  <c r="L80" i="2"/>
  <c r="M80" i="2"/>
  <c r="N80" i="2"/>
  <c r="O80" i="2"/>
  <c r="N107" i="2" s="1"/>
  <c r="P80" i="2"/>
  <c r="Q80" i="2"/>
  <c r="R80" i="2"/>
  <c r="S80" i="2"/>
  <c r="T80" i="2"/>
  <c r="U80" i="2"/>
  <c r="V80" i="2"/>
  <c r="W80" i="2"/>
  <c r="X80" i="2"/>
  <c r="B80" i="2"/>
  <c r="C75" i="2"/>
  <c r="D75" i="2"/>
  <c r="E66" i="2" s="1"/>
  <c r="E75" i="2"/>
  <c r="F75" i="2"/>
  <c r="G75" i="2"/>
  <c r="H66" i="2" s="1"/>
  <c r="H75" i="2"/>
  <c r="I75" i="2"/>
  <c r="I66" i="2" s="1"/>
  <c r="J75" i="2"/>
  <c r="K75" i="2"/>
  <c r="K66" i="2" s="1"/>
  <c r="L75" i="2"/>
  <c r="M75" i="2"/>
  <c r="N75" i="2"/>
  <c r="O75" i="2"/>
  <c r="O66" i="2" s="1"/>
  <c r="O67" i="2" s="1"/>
  <c r="P75" i="2"/>
  <c r="Q75" i="2"/>
  <c r="R75" i="2"/>
  <c r="R66" i="2" s="1"/>
  <c r="S75" i="2"/>
  <c r="S66" i="2" s="1"/>
  <c r="T75" i="2"/>
  <c r="U75" i="2"/>
  <c r="V75" i="2"/>
  <c r="W75" i="2"/>
  <c r="X75" i="2"/>
  <c r="C76" i="2"/>
  <c r="D77" i="2" s="1"/>
  <c r="D79" i="2" s="1"/>
  <c r="D30" i="2" s="1"/>
  <c r="C97" i="2" s="1"/>
  <c r="D76" i="2"/>
  <c r="E77" i="2"/>
  <c r="E76" i="2"/>
  <c r="F76" i="2"/>
  <c r="G77" i="2" s="1"/>
  <c r="G76" i="2"/>
  <c r="H77" i="2"/>
  <c r="H76" i="2"/>
  <c r="I76" i="2"/>
  <c r="J77" i="2" s="1"/>
  <c r="J79" i="2" s="1"/>
  <c r="J30" i="2" s="1"/>
  <c r="I97" i="2" s="1"/>
  <c r="J76" i="2"/>
  <c r="K76" i="2"/>
  <c r="L77" i="2" s="1"/>
  <c r="L76" i="2"/>
  <c r="M76" i="2"/>
  <c r="N77" i="2" s="1"/>
  <c r="N79" i="2"/>
  <c r="N30" i="2" s="1"/>
  <c r="M97" i="2" s="1"/>
  <c r="N76" i="2"/>
  <c r="O76" i="2"/>
  <c r="P77" i="2"/>
  <c r="P76" i="2"/>
  <c r="Q76" i="2"/>
  <c r="R76" i="2"/>
  <c r="S77" i="2"/>
  <c r="S79" i="2" s="1"/>
  <c r="S30" i="2" s="1"/>
  <c r="R97" i="2" s="1"/>
  <c r="S76" i="2"/>
  <c r="T77" i="2" s="1"/>
  <c r="T76" i="2"/>
  <c r="U77" i="2" s="1"/>
  <c r="U76" i="2"/>
  <c r="V76" i="2"/>
  <c r="W77" i="2" s="1"/>
  <c r="W76" i="2"/>
  <c r="X77" i="2"/>
  <c r="X76" i="2"/>
  <c r="Y77" i="2" s="1"/>
  <c r="Y79" i="2" s="1"/>
  <c r="B76" i="2"/>
  <c r="C77" i="2"/>
  <c r="B75" i="2"/>
  <c r="C72" i="2"/>
  <c r="C92" i="2" s="1"/>
  <c r="D72" i="2"/>
  <c r="E72" i="2"/>
  <c r="E92" i="2" s="1"/>
  <c r="F72" i="2"/>
  <c r="G72" i="2"/>
  <c r="G92" i="2" s="1"/>
  <c r="H72" i="2"/>
  <c r="H92" i="2" s="1"/>
  <c r="I72" i="2"/>
  <c r="I73" i="2" s="1"/>
  <c r="J72" i="2"/>
  <c r="K72" i="2"/>
  <c r="L73" i="2" s="1"/>
  <c r="L72" i="2"/>
  <c r="M72" i="2"/>
  <c r="M73" i="2" s="1"/>
  <c r="N72" i="2"/>
  <c r="O72" i="2"/>
  <c r="P73" i="2" s="1"/>
  <c r="P72" i="2"/>
  <c r="Q72" i="2"/>
  <c r="Q92" i="2" s="1"/>
  <c r="R72" i="2"/>
  <c r="S72" i="2"/>
  <c r="S73" i="2" s="1"/>
  <c r="T72" i="2"/>
  <c r="T92" i="2" s="1"/>
  <c r="U72" i="2"/>
  <c r="V72" i="2"/>
  <c r="V92" i="2"/>
  <c r="W72" i="2"/>
  <c r="X72" i="2"/>
  <c r="B72" i="2"/>
  <c r="B92" i="2"/>
  <c r="C64" i="2"/>
  <c r="D64" i="2"/>
  <c r="E64" i="2"/>
  <c r="F64" i="2"/>
  <c r="F65" i="2" s="1"/>
  <c r="G64" i="2"/>
  <c r="H64" i="2"/>
  <c r="I64" i="2"/>
  <c r="I65" i="2" s="1"/>
  <c r="J64" i="2"/>
  <c r="K64" i="2"/>
  <c r="L64" i="2"/>
  <c r="M64" i="2"/>
  <c r="M65" i="2" s="1"/>
  <c r="N64" i="2"/>
  <c r="O64" i="2"/>
  <c r="P64" i="2"/>
  <c r="P65" i="2" s="1"/>
  <c r="Q64" i="2"/>
  <c r="R64" i="2"/>
  <c r="S64" i="2"/>
  <c r="S65" i="2" s="1"/>
  <c r="T64" i="2"/>
  <c r="T65" i="2" s="1"/>
  <c r="U64" i="2"/>
  <c r="V64" i="2"/>
  <c r="W64" i="2"/>
  <c r="X64" i="2"/>
  <c r="C65" i="2"/>
  <c r="C22" i="2"/>
  <c r="C69" i="2" s="1"/>
  <c r="D22" i="2"/>
  <c r="E22" i="2"/>
  <c r="E39" i="2"/>
  <c r="E40" i="2" s="1"/>
  <c r="E41" i="2" s="1"/>
  <c r="F22" i="2"/>
  <c r="G22" i="2"/>
  <c r="H22" i="2"/>
  <c r="H69" i="2" s="1"/>
  <c r="H86" i="2"/>
  <c r="I22" i="2"/>
  <c r="J22" i="2"/>
  <c r="J69" i="2"/>
  <c r="K22" i="2"/>
  <c r="L22" i="2"/>
  <c r="L86" i="2" s="1"/>
  <c r="M22" i="2"/>
  <c r="M86" i="2" s="1"/>
  <c r="N22" i="2"/>
  <c r="N86" i="2" s="1"/>
  <c r="N39" i="2"/>
  <c r="O22" i="2"/>
  <c r="O69" i="2" s="1"/>
  <c r="P22" i="2"/>
  <c r="P69" i="2" s="1"/>
  <c r="P68" i="2" s="1"/>
  <c r="Q22" i="2"/>
  <c r="Q86" i="2" s="1"/>
  <c r="Q39" i="2"/>
  <c r="Q188" i="2" s="1"/>
  <c r="R22" i="2"/>
  <c r="R86" i="2"/>
  <c r="S22" i="2"/>
  <c r="S86" i="2" s="1"/>
  <c r="T22" i="2"/>
  <c r="U22" i="2"/>
  <c r="U39" i="2" s="1"/>
  <c r="U40" i="2" s="1"/>
  <c r="V22" i="2"/>
  <c r="V39" i="2" s="1"/>
  <c r="V69" i="2"/>
  <c r="W22" i="2"/>
  <c r="W39" i="2" s="1"/>
  <c r="X22" i="2"/>
  <c r="B22" i="2"/>
  <c r="B69" i="2"/>
  <c r="C19" i="2"/>
  <c r="C107" i="2" s="1"/>
  <c r="D19" i="2"/>
  <c r="E19" i="2"/>
  <c r="F19" i="2"/>
  <c r="F37" i="2" s="1"/>
  <c r="G19" i="2"/>
  <c r="H19" i="2"/>
  <c r="I19" i="2"/>
  <c r="I82" i="2" s="1"/>
  <c r="J19" i="2"/>
  <c r="K19" i="2"/>
  <c r="L37" i="2" s="1"/>
  <c r="L19" i="2"/>
  <c r="M19" i="2"/>
  <c r="N19" i="2"/>
  <c r="O37" i="2" s="1"/>
  <c r="O19" i="2"/>
  <c r="P19" i="2"/>
  <c r="P37" i="2" s="1"/>
  <c r="Q19" i="2"/>
  <c r="R19" i="2"/>
  <c r="S19" i="2"/>
  <c r="S107" i="2" s="1"/>
  <c r="T19" i="2"/>
  <c r="U19" i="2"/>
  <c r="V19" i="2"/>
  <c r="V107" i="2" s="1"/>
  <c r="W19" i="2"/>
  <c r="X19" i="2"/>
  <c r="C20" i="2"/>
  <c r="D20" i="2"/>
  <c r="D41" i="2" s="1"/>
  <c r="E20" i="2"/>
  <c r="F20" i="2"/>
  <c r="G20" i="2"/>
  <c r="H20" i="2"/>
  <c r="H45" i="2" s="1"/>
  <c r="I20" i="2"/>
  <c r="J20" i="2"/>
  <c r="J21" i="2" s="1"/>
  <c r="J24" i="2" s="1"/>
  <c r="J88" i="2" s="1"/>
  <c r="K20" i="2"/>
  <c r="L20" i="2"/>
  <c r="L74" i="2" s="1"/>
  <c r="M20" i="2"/>
  <c r="N20" i="2"/>
  <c r="N51" i="2"/>
  <c r="O20" i="2"/>
  <c r="O52" i="2" s="1"/>
  <c r="P20" i="2"/>
  <c r="Q20" i="2"/>
  <c r="R20" i="2"/>
  <c r="R55" i="2" s="1"/>
  <c r="S20" i="2"/>
  <c r="S21" i="2" s="1"/>
  <c r="T20" i="2"/>
  <c r="T74" i="2"/>
  <c r="U20" i="2"/>
  <c r="V20" i="2"/>
  <c r="V74" i="2" s="1"/>
  <c r="W20" i="2"/>
  <c r="X20" i="2"/>
  <c r="B20" i="2"/>
  <c r="B39" i="2" s="1"/>
  <c r="B188" i="2" s="1"/>
  <c r="B19" i="2"/>
  <c r="B107" i="2" s="1"/>
  <c r="C111" i="2" s="1"/>
  <c r="F77" i="2"/>
  <c r="K77" i="2"/>
  <c r="K79" i="2" s="1"/>
  <c r="K30" i="2" s="1"/>
  <c r="J97" i="2" s="1"/>
  <c r="R77" i="2"/>
  <c r="R79" i="2" s="1"/>
  <c r="R30" i="2" s="1"/>
  <c r="Q97" i="2" s="1"/>
  <c r="AE23" i="2"/>
  <c r="AD23" i="2"/>
  <c r="AC23" i="2"/>
  <c r="AB23" i="2"/>
  <c r="O86" i="2"/>
  <c r="V77" i="2"/>
  <c r="V79" i="2" s="1"/>
  <c r="V30" i="2" s="1"/>
  <c r="U97" i="2" s="1"/>
  <c r="K92" i="2"/>
  <c r="E69" i="2"/>
  <c r="E86" i="2"/>
  <c r="E37" i="2"/>
  <c r="X69" i="2"/>
  <c r="X68" i="2" s="1"/>
  <c r="D39" i="2"/>
  <c r="D40" i="2" s="1"/>
  <c r="J107" i="2"/>
  <c r="T57" i="2"/>
  <c r="T21" i="2"/>
  <c r="T24" i="2" s="1"/>
  <c r="T25" i="2" s="1"/>
  <c r="S106" i="2" s="1"/>
  <c r="L92" i="2"/>
  <c r="I74" i="2"/>
  <c r="W82" i="2"/>
  <c r="W60" i="2"/>
  <c r="P82" i="2"/>
  <c r="D82" i="2"/>
  <c r="F86" i="2"/>
  <c r="X86" i="2"/>
  <c r="U86" i="2"/>
  <c r="U188" i="2"/>
  <c r="I69" i="2"/>
  <c r="U41" i="2"/>
  <c r="U42" i="2" s="1"/>
  <c r="U43" i="2" s="1"/>
  <c r="U44" i="2" s="1"/>
  <c r="U45" i="2" s="1"/>
  <c r="U46" i="2" s="1"/>
  <c r="U47" i="2" s="1"/>
  <c r="U48" i="2" s="1"/>
  <c r="U49" i="2" s="1"/>
  <c r="U50" i="2" s="1"/>
  <c r="U51" i="2" s="1"/>
  <c r="U52" i="2" s="1"/>
  <c r="U53" i="2" s="1"/>
  <c r="U54" i="2" s="1"/>
  <c r="U55" i="2" s="1"/>
  <c r="U56" i="2" s="1"/>
  <c r="U57" i="2" s="1"/>
  <c r="C68" i="2"/>
  <c r="B74" i="2"/>
  <c r="M69" i="2"/>
  <c r="O68" i="2"/>
  <c r="T88" i="2"/>
  <c r="D107" i="2"/>
  <c r="AD87" i="2"/>
  <c r="W107" i="2"/>
  <c r="O107" i="2"/>
  <c r="O65" i="2"/>
  <c r="R107" i="2"/>
  <c r="J66" i="2"/>
  <c r="U58" i="2"/>
  <c r="L69" i="2"/>
  <c r="L68" i="2"/>
  <c r="J82" i="2"/>
  <c r="R39" i="2"/>
  <c r="R40" i="2" s="1"/>
  <c r="R41" i="2" s="1"/>
  <c r="R42" i="2" s="1"/>
  <c r="V86" i="2"/>
  <c r="M74" i="2"/>
  <c r="M50" i="2"/>
  <c r="I46" i="2"/>
  <c r="E42" i="2"/>
  <c r="E82" i="2"/>
  <c r="P92" i="2"/>
  <c r="F43" i="2"/>
  <c r="O21" i="2"/>
  <c r="O85" i="2" s="1"/>
  <c r="R69" i="2"/>
  <c r="R68" i="2" s="1"/>
  <c r="W79" i="2"/>
  <c r="W30" i="2" s="1"/>
  <c r="F74" i="2"/>
  <c r="S39" i="2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69" i="2"/>
  <c r="S68" i="2" s="1"/>
  <c r="L39" i="2"/>
  <c r="F39" i="2"/>
  <c r="F40" i="2" s="1"/>
  <c r="F41" i="2" s="1"/>
  <c r="F42" i="2" s="1"/>
  <c r="F69" i="2"/>
  <c r="F68" i="2" s="1"/>
  <c r="C86" i="2"/>
  <c r="C39" i="2"/>
  <c r="C188" i="2" s="1"/>
  <c r="X65" i="2"/>
  <c r="W65" i="2"/>
  <c r="S74" i="2"/>
  <c r="L65" i="2"/>
  <c r="V21" i="2"/>
  <c r="V85" i="2" s="1"/>
  <c r="V89" i="2" s="1"/>
  <c r="G79" i="2"/>
  <c r="G30" i="2" s="1"/>
  <c r="F97" i="2" s="1"/>
  <c r="O39" i="2"/>
  <c r="O188" i="2" s="1"/>
  <c r="S188" i="2"/>
  <c r="F188" i="2"/>
  <c r="R43" i="2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V24" i="2"/>
  <c r="V88" i="2" s="1"/>
  <c r="V40" i="2" l="1"/>
  <c r="V41" i="2" s="1"/>
  <c r="V42" i="2" s="1"/>
  <c r="V43" i="2" s="1"/>
  <c r="V44" i="2" s="1"/>
  <c r="V45" i="2" s="1"/>
  <c r="V46" i="2" s="1"/>
  <c r="V47" i="2" s="1"/>
  <c r="V48" i="2" s="1"/>
  <c r="V49" i="2" s="1"/>
  <c r="V50" i="2" s="1"/>
  <c r="V51" i="2" s="1"/>
  <c r="V52" i="2" s="1"/>
  <c r="V53" i="2" s="1"/>
  <c r="V54" i="2" s="1"/>
  <c r="V55" i="2" s="1"/>
  <c r="V56" i="2" s="1"/>
  <c r="V57" i="2" s="1"/>
  <c r="V58" i="2" s="1"/>
  <c r="V188" i="2"/>
  <c r="S85" i="2"/>
  <c r="S24" i="2"/>
  <c r="S25" i="2" s="1"/>
  <c r="S26" i="2" s="1"/>
  <c r="S92" i="2"/>
  <c r="M68" i="2"/>
  <c r="E21" i="2"/>
  <c r="E85" i="2" s="1"/>
  <c r="E89" i="2" s="1"/>
  <c r="E68" i="2"/>
  <c r="V59" i="2"/>
  <c r="B68" i="2"/>
  <c r="K73" i="2"/>
  <c r="G66" i="2"/>
  <c r="AE87" i="2"/>
  <c r="AC87" i="2"/>
  <c r="O40" i="2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V37" i="2"/>
  <c r="G65" i="2"/>
  <c r="O82" i="2"/>
  <c r="C73" i="2"/>
  <c r="I68" i="2"/>
  <c r="L49" i="2"/>
  <c r="N82" i="2"/>
  <c r="I21" i="2"/>
  <c r="I24" i="2" s="1"/>
  <c r="L82" i="2"/>
  <c r="E65" i="2"/>
  <c r="E67" i="2" s="1"/>
  <c r="M36" i="2"/>
  <c r="U79" i="2"/>
  <c r="U30" i="2" s="1"/>
  <c r="T97" i="2" s="1"/>
  <c r="P86" i="2"/>
  <c r="H39" i="2"/>
  <c r="M21" i="2"/>
  <c r="W21" i="2"/>
  <c r="W85" i="2" s="1"/>
  <c r="Q69" i="2"/>
  <c r="Q68" i="2" s="1"/>
  <c r="H74" i="2"/>
  <c r="E74" i="2"/>
  <c r="M37" i="2"/>
  <c r="K65" i="2"/>
  <c r="K67" i="2" s="1"/>
  <c r="W74" i="2"/>
  <c r="Q66" i="2"/>
  <c r="G107" i="2"/>
  <c r="D111" i="2"/>
  <c r="E111" i="2" s="1"/>
  <c r="V68" i="2"/>
  <c r="G73" i="2"/>
  <c r="H890" i="5"/>
  <c r="H73" i="2"/>
  <c r="H65" i="2"/>
  <c r="V73" i="2"/>
  <c r="Y188" i="2"/>
  <c r="S89" i="2"/>
  <c r="W188" i="2"/>
  <c r="W40" i="2"/>
  <c r="W41" i="2" s="1"/>
  <c r="W42" i="2" s="1"/>
  <c r="W43" i="2" s="1"/>
  <c r="W44" i="2" s="1"/>
  <c r="W45" i="2" s="1"/>
  <c r="W46" i="2" s="1"/>
  <c r="W47" i="2" s="1"/>
  <c r="W48" i="2" s="1"/>
  <c r="W49" i="2" s="1"/>
  <c r="W50" i="2" s="1"/>
  <c r="W51" i="2" s="1"/>
  <c r="W52" i="2" s="1"/>
  <c r="W53" i="2" s="1"/>
  <c r="X21" i="2"/>
  <c r="X24" i="2" s="1"/>
  <c r="T39" i="2"/>
  <c r="T86" i="2"/>
  <c r="K86" i="2"/>
  <c r="K69" i="2"/>
  <c r="K68" i="2" s="1"/>
  <c r="S96" i="2"/>
  <c r="T73" i="2"/>
  <c r="T36" i="2" s="1"/>
  <c r="K39" i="2"/>
  <c r="F73" i="2"/>
  <c r="U73" i="2"/>
  <c r="W73" i="2"/>
  <c r="W36" i="2" s="1"/>
  <c r="E188" i="2"/>
  <c r="Q73" i="2"/>
  <c r="T37" i="2"/>
  <c r="T26" i="2"/>
  <c r="X82" i="2"/>
  <c r="D37" i="2"/>
  <c r="M92" i="2"/>
  <c r="W92" i="2"/>
  <c r="E24" i="2"/>
  <c r="E25" i="2" s="1"/>
  <c r="T69" i="2"/>
  <c r="T68" i="2" s="1"/>
  <c r="Q40" i="2"/>
  <c r="Q41" i="2" s="1"/>
  <c r="Q42" i="2" s="1"/>
  <c r="Q43" i="2" s="1"/>
  <c r="Q44" i="2" s="1"/>
  <c r="Q45" i="2" s="1"/>
  <c r="Q46" i="2" s="1"/>
  <c r="Q47" i="2" s="1"/>
  <c r="Q48" i="2" s="1"/>
  <c r="Q49" i="2" s="1"/>
  <c r="Q50" i="2" s="1"/>
  <c r="Q51" i="2" s="1"/>
  <c r="Q52" i="2" s="1"/>
  <c r="Q53" i="2" s="1"/>
  <c r="AD22" i="2"/>
  <c r="I85" i="2"/>
  <c r="AF23" i="2"/>
  <c r="I37" i="2"/>
  <c r="T107" i="2"/>
  <c r="L107" i="2"/>
  <c r="S67" i="2"/>
  <c r="W69" i="2"/>
  <c r="W68" i="2" s="1"/>
  <c r="W86" i="2"/>
  <c r="C183" i="2"/>
  <c r="C184" i="2" s="1"/>
  <c r="C185" i="2" s="1"/>
  <c r="T79" i="2"/>
  <c r="T30" i="2" s="1"/>
  <c r="R82" i="2"/>
  <c r="X107" i="2"/>
  <c r="X37" i="2"/>
  <c r="Y37" i="2"/>
  <c r="Y107" i="2"/>
  <c r="J25" i="2"/>
  <c r="I106" i="2" s="1"/>
  <c r="J85" i="2"/>
  <c r="AC22" i="2"/>
  <c r="P107" i="2"/>
  <c r="D65" i="2"/>
  <c r="N69" i="2"/>
  <c r="N68" i="2" s="1"/>
  <c r="T85" i="2"/>
  <c r="T89" i="2" s="1"/>
  <c r="D188" i="2"/>
  <c r="U21" i="2"/>
  <c r="U85" i="2" s="1"/>
  <c r="U89" i="2" s="1"/>
  <c r="U82" i="2"/>
  <c r="U74" i="2"/>
  <c r="V36" i="2" s="1"/>
  <c r="AD86" i="2"/>
  <c r="V65" i="2"/>
  <c r="N65" i="2"/>
  <c r="J65" i="2"/>
  <c r="H67" i="2"/>
  <c r="X73" i="2"/>
  <c r="N73" i="2"/>
  <c r="J92" i="2"/>
  <c r="Y30" i="2"/>
  <c r="X97" i="2" s="1"/>
  <c r="O77" i="2"/>
  <c r="O79" i="2" s="1"/>
  <c r="O30" i="2" s="1"/>
  <c r="N97" i="2" s="1"/>
  <c r="F79" i="2"/>
  <c r="F30" i="2" s="1"/>
  <c r="E97" i="2" s="1"/>
  <c r="Y66" i="2"/>
  <c r="X66" i="2"/>
  <c r="X67" i="2" s="1"/>
  <c r="L66" i="2"/>
  <c r="L67" i="2" s="1"/>
  <c r="J68" i="2"/>
  <c r="Y65" i="2"/>
  <c r="Y67" i="2" s="1"/>
  <c r="U65" i="2"/>
  <c r="X79" i="2"/>
  <c r="X30" i="2" s="1"/>
  <c r="W97" i="2" s="1"/>
  <c r="M39" i="2"/>
  <c r="T82" i="2"/>
  <c r="N21" i="2"/>
  <c r="Q37" i="2"/>
  <c r="M82" i="2"/>
  <c r="C79" i="2"/>
  <c r="C30" i="2" s="1"/>
  <c r="B97" i="2" s="1"/>
  <c r="C102" i="2" s="1"/>
  <c r="D102" i="2" s="1"/>
  <c r="M66" i="2"/>
  <c r="M67" i="2" s="1"/>
  <c r="U107" i="2"/>
  <c r="Q107" i="2"/>
  <c r="M107" i="2"/>
  <c r="I107" i="2"/>
  <c r="E107" i="2"/>
  <c r="Z37" i="2"/>
  <c r="V66" i="2"/>
  <c r="Z40" i="2"/>
  <c r="Z41" i="2" s="1"/>
  <c r="Z42" i="2" s="1"/>
  <c r="Z43" i="2" s="1"/>
  <c r="Z44" i="2" s="1"/>
  <c r="Z45" i="2" s="1"/>
  <c r="Z46" i="2" s="1"/>
  <c r="Z47" i="2" s="1"/>
  <c r="Z48" i="2" s="1"/>
  <c r="Z49" i="2" s="1"/>
  <c r="Z50" i="2" s="1"/>
  <c r="Z51" i="2" s="1"/>
  <c r="Z52" i="2" s="1"/>
  <c r="Z53" i="2" s="1"/>
  <c r="Z54" i="2" s="1"/>
  <c r="Z55" i="2" s="1"/>
  <c r="Z56" i="2" s="1"/>
  <c r="Z57" i="2" s="1"/>
  <c r="Z188" i="2"/>
  <c r="AA182" i="2"/>
  <c r="S88" i="2"/>
  <c r="V97" i="2"/>
  <c r="O89" i="2"/>
  <c r="E88" i="2"/>
  <c r="R188" i="2"/>
  <c r="Z86" i="2"/>
  <c r="Z69" i="2"/>
  <c r="Z68" i="2" s="1"/>
  <c r="V25" i="2"/>
  <c r="O24" i="2"/>
  <c r="L188" i="2"/>
  <c r="L40" i="2"/>
  <c r="L41" i="2" s="1"/>
  <c r="L42" i="2" s="1"/>
  <c r="L43" i="2" s="1"/>
  <c r="L44" i="2" s="1"/>
  <c r="L45" i="2" s="1"/>
  <c r="L46" i="2" s="1"/>
  <c r="L47" i="2" s="1"/>
  <c r="L48" i="2" s="1"/>
  <c r="G74" i="2"/>
  <c r="G44" i="2"/>
  <c r="H21" i="2"/>
  <c r="G21" i="2"/>
  <c r="J67" i="2"/>
  <c r="Q77" i="2"/>
  <c r="Q79" i="2" s="1"/>
  <c r="Q30" i="2" s="1"/>
  <c r="P97" i="2" s="1"/>
  <c r="Y73" i="2"/>
  <c r="J37" i="2"/>
  <c r="X85" i="2"/>
  <c r="X89" i="2" s="1"/>
  <c r="H82" i="2"/>
  <c r="U92" i="2"/>
  <c r="V82" i="2"/>
  <c r="N188" i="2"/>
  <c r="N40" i="2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R65" i="2"/>
  <c r="R67" i="2" s="1"/>
  <c r="Q65" i="2"/>
  <c r="Q67" i="2" s="1"/>
  <c r="D92" i="2"/>
  <c r="D73" i="2"/>
  <c r="E73" i="2"/>
  <c r="D74" i="2"/>
  <c r="M77" i="2"/>
  <c r="M79" i="2" s="1"/>
  <c r="M30" i="2" s="1"/>
  <c r="H79" i="2"/>
  <c r="H30" i="2" s="1"/>
  <c r="G97" i="2" s="1"/>
  <c r="K74" i="2"/>
  <c r="L36" i="2" s="1"/>
  <c r="K48" i="2"/>
  <c r="K82" i="2"/>
  <c r="D21" i="2"/>
  <c r="C40" i="2"/>
  <c r="C82" i="2"/>
  <c r="C66" i="2"/>
  <c r="C67" i="2" s="1"/>
  <c r="D66" i="2"/>
  <c r="Y69" i="2"/>
  <c r="Y68" i="2" s="1"/>
  <c r="Y86" i="2"/>
  <c r="X92" i="2"/>
  <c r="X39" i="2"/>
  <c r="L21" i="2"/>
  <c r="N92" i="2"/>
  <c r="Q54" i="2"/>
  <c r="Q21" i="2"/>
  <c r="Q74" i="2"/>
  <c r="Q82" i="2"/>
  <c r="J47" i="2"/>
  <c r="J74" i="2"/>
  <c r="F82" i="2"/>
  <c r="F21" i="2"/>
  <c r="K37" i="2"/>
  <c r="K107" i="2"/>
  <c r="N74" i="2"/>
  <c r="N36" i="2" s="1"/>
  <c r="S37" i="2"/>
  <c r="H37" i="2"/>
  <c r="R21" i="2"/>
  <c r="C21" i="2"/>
  <c r="W37" i="2"/>
  <c r="X74" i="2"/>
  <c r="C74" i="2"/>
  <c r="G82" i="2"/>
  <c r="K21" i="2"/>
  <c r="AF87" i="2"/>
  <c r="F66" i="2"/>
  <c r="F67" i="2" s="1"/>
  <c r="R37" i="2"/>
  <c r="N66" i="2"/>
  <c r="O73" i="2"/>
  <c r="H107" i="2"/>
  <c r="L79" i="2"/>
  <c r="L30" i="2" s="1"/>
  <c r="K97" i="2" s="1"/>
  <c r="S82" i="2"/>
  <c r="S56" i="2"/>
  <c r="P53" i="2"/>
  <c r="P74" i="2"/>
  <c r="J39" i="2"/>
  <c r="J86" i="2"/>
  <c r="G39" i="2"/>
  <c r="G86" i="2"/>
  <c r="D86" i="2"/>
  <c r="D69" i="2"/>
  <c r="D68" i="2" s="1"/>
  <c r="I92" i="2"/>
  <c r="J73" i="2"/>
  <c r="I36" i="2"/>
  <c r="F36" i="2"/>
  <c r="I77" i="2"/>
  <c r="I79" i="2" s="1"/>
  <c r="I30" i="2" s="1"/>
  <c r="E79" i="2"/>
  <c r="E30" i="2" s="1"/>
  <c r="D97" i="2" s="1"/>
  <c r="U66" i="2"/>
  <c r="U67" i="2" s="1"/>
  <c r="T66" i="2"/>
  <c r="T67" i="2" s="1"/>
  <c r="P66" i="2"/>
  <c r="P67" i="2" s="1"/>
  <c r="P39" i="2"/>
  <c r="AB22" i="2"/>
  <c r="B82" i="2"/>
  <c r="G37" i="2"/>
  <c r="AE22" i="2"/>
  <c r="AF22" i="2" s="1"/>
  <c r="F92" i="2"/>
  <c r="N37" i="2"/>
  <c r="C37" i="2"/>
  <c r="I67" i="2"/>
  <c r="P21" i="2"/>
  <c r="H68" i="2"/>
  <c r="U69" i="2"/>
  <c r="U68" i="2" s="1"/>
  <c r="G69" i="2"/>
  <c r="G68" i="2" s="1"/>
  <c r="U24" i="2"/>
  <c r="U37" i="2"/>
  <c r="I39" i="2"/>
  <c r="I86" i="2"/>
  <c r="I89" i="2" s="1"/>
  <c r="R92" i="2"/>
  <c r="R74" i="2"/>
  <c r="S36" i="2" s="1"/>
  <c r="R73" i="2"/>
  <c r="O92" i="2"/>
  <c r="O74" i="2"/>
  <c r="P79" i="2"/>
  <c r="P30" i="2" s="1"/>
  <c r="O97" i="2" s="1"/>
  <c r="W66" i="2"/>
  <c r="W67" i="2" s="1"/>
  <c r="AB87" i="2"/>
  <c r="Z82" i="2"/>
  <c r="Z74" i="2"/>
  <c r="Z21" i="2"/>
  <c r="Y82" i="2"/>
  <c r="Y74" i="2"/>
  <c r="Z36" i="2" s="1"/>
  <c r="Y21" i="2"/>
  <c r="S32" i="2" l="1"/>
  <c r="R96" i="2"/>
  <c r="AE86" i="2"/>
  <c r="M24" i="2"/>
  <c r="M85" i="2"/>
  <c r="M89" i="2" s="1"/>
  <c r="R106" i="2"/>
  <c r="I88" i="2"/>
  <c r="I25" i="2"/>
  <c r="Q36" i="2"/>
  <c r="C36" i="2"/>
  <c r="D67" i="2"/>
  <c r="C31" i="2"/>
  <c r="D31" i="2" s="1"/>
  <c r="F111" i="2"/>
  <c r="G111" i="2" s="1"/>
  <c r="H111" i="2" s="1"/>
  <c r="I111" i="2" s="1"/>
  <c r="J111" i="2" s="1"/>
  <c r="K111" i="2" s="1"/>
  <c r="L111" i="2" s="1"/>
  <c r="M111" i="2" s="1"/>
  <c r="N111" i="2" s="1"/>
  <c r="O111" i="2" s="1"/>
  <c r="P111" i="2" s="1"/>
  <c r="Q111" i="2" s="1"/>
  <c r="R111" i="2" s="1"/>
  <c r="S111" i="2" s="1"/>
  <c r="T111" i="2" s="1"/>
  <c r="U111" i="2" s="1"/>
  <c r="V111" i="2" s="1"/>
  <c r="W111" i="2" s="1"/>
  <c r="X111" i="2" s="1"/>
  <c r="Y111" i="2" s="1"/>
  <c r="Z111" i="2" s="1"/>
  <c r="J89" i="2"/>
  <c r="U36" i="2"/>
  <c r="W24" i="2"/>
  <c r="H40" i="2"/>
  <c r="H41" i="2" s="1"/>
  <c r="H42" i="2" s="1"/>
  <c r="H43" i="2" s="1"/>
  <c r="H44" i="2" s="1"/>
  <c r="H188" i="2"/>
  <c r="G67" i="2"/>
  <c r="K40" i="2"/>
  <c r="K41" i="2" s="1"/>
  <c r="K42" i="2" s="1"/>
  <c r="K43" i="2" s="1"/>
  <c r="K44" i="2" s="1"/>
  <c r="K45" i="2" s="1"/>
  <c r="K46" i="2" s="1"/>
  <c r="K47" i="2" s="1"/>
  <c r="K188" i="2"/>
  <c r="J32" i="2"/>
  <c r="J26" i="2"/>
  <c r="E102" i="2"/>
  <c r="F102" i="2" s="1"/>
  <c r="G102" i="2" s="1"/>
  <c r="H102" i="2" s="1"/>
  <c r="X36" i="2"/>
  <c r="Y36" i="2"/>
  <c r="I96" i="2"/>
  <c r="W88" i="2"/>
  <c r="W25" i="2"/>
  <c r="D183" i="2"/>
  <c r="W89" i="2"/>
  <c r="AC21" i="2"/>
  <c r="AB21" i="2"/>
  <c r="P36" i="2"/>
  <c r="M188" i="2"/>
  <c r="M40" i="2"/>
  <c r="M41" i="2" s="1"/>
  <c r="M42" i="2" s="1"/>
  <c r="M43" i="2" s="1"/>
  <c r="M44" i="2" s="1"/>
  <c r="M45" i="2" s="1"/>
  <c r="M46" i="2" s="1"/>
  <c r="M47" i="2" s="1"/>
  <c r="M48" i="2" s="1"/>
  <c r="M49" i="2" s="1"/>
  <c r="T32" i="2"/>
  <c r="S97" i="2"/>
  <c r="X25" i="2"/>
  <c r="X88" i="2"/>
  <c r="R36" i="2"/>
  <c r="J36" i="2"/>
  <c r="N67" i="2"/>
  <c r="V67" i="2"/>
  <c r="N85" i="2"/>
  <c r="N89" i="2" s="1"/>
  <c r="N24" i="2"/>
  <c r="T40" i="2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188" i="2"/>
  <c r="W55" i="2"/>
  <c r="W56" i="2" s="1"/>
  <c r="W57" i="2" s="1"/>
  <c r="W58" i="2" s="1"/>
  <c r="W59" i="2" s="1"/>
  <c r="W54" i="2"/>
  <c r="L97" i="2"/>
  <c r="P188" i="2"/>
  <c r="P40" i="2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AC86" i="2"/>
  <c r="R85" i="2"/>
  <c r="R89" i="2" s="1"/>
  <c r="R24" i="2"/>
  <c r="F24" i="2"/>
  <c r="F85" i="2"/>
  <c r="F89" i="2" s="1"/>
  <c r="D24" i="2"/>
  <c r="D85" i="2"/>
  <c r="D89" i="2" s="1"/>
  <c r="H24" i="2"/>
  <c r="H85" i="2"/>
  <c r="H89" i="2" s="1"/>
  <c r="Y85" i="2"/>
  <c r="Y89" i="2" s="1"/>
  <c r="Y24" i="2"/>
  <c r="I188" i="2"/>
  <c r="I40" i="2"/>
  <c r="I41" i="2" s="1"/>
  <c r="I42" i="2" s="1"/>
  <c r="I43" i="2" s="1"/>
  <c r="I44" i="2" s="1"/>
  <c r="I45" i="2" s="1"/>
  <c r="H97" i="2"/>
  <c r="I32" i="2"/>
  <c r="O36" i="2"/>
  <c r="AD21" i="2"/>
  <c r="L85" i="2"/>
  <c r="L24" i="2"/>
  <c r="E36" i="2"/>
  <c r="U106" i="2"/>
  <c r="V26" i="2"/>
  <c r="U96" i="2"/>
  <c r="V32" i="2"/>
  <c r="E26" i="2"/>
  <c r="D96" i="2"/>
  <c r="D106" i="2"/>
  <c r="E32" i="2"/>
  <c r="E31" i="2"/>
  <c r="F31" i="2" s="1"/>
  <c r="G31" i="2" s="1"/>
  <c r="H31" i="2" s="1"/>
  <c r="I31" i="2" s="1"/>
  <c r="J31" i="2" s="1"/>
  <c r="K31" i="2" s="1"/>
  <c r="J40" i="2"/>
  <c r="J41" i="2" s="1"/>
  <c r="J42" i="2" s="1"/>
  <c r="J43" i="2" s="1"/>
  <c r="J44" i="2" s="1"/>
  <c r="J45" i="2" s="1"/>
  <c r="J46" i="2" s="1"/>
  <c r="J188" i="2"/>
  <c r="AB86" i="2"/>
  <c r="G188" i="2"/>
  <c r="G40" i="2"/>
  <c r="K24" i="2"/>
  <c r="K85" i="2"/>
  <c r="K89" i="2" s="1"/>
  <c r="K36" i="2"/>
  <c r="Q24" i="2"/>
  <c r="Q85" i="2"/>
  <c r="Q89" i="2" s="1"/>
  <c r="X40" i="2"/>
  <c r="X41" i="2" s="1"/>
  <c r="X42" i="2" s="1"/>
  <c r="X188" i="2"/>
  <c r="D36" i="2"/>
  <c r="H36" i="2"/>
  <c r="G36" i="2"/>
  <c r="O25" i="2"/>
  <c r="O88" i="2"/>
  <c r="AA39" i="2"/>
  <c r="AA156" i="2" s="1"/>
  <c r="Z85" i="2"/>
  <c r="Z89" i="2" s="1"/>
  <c r="Z24" i="2"/>
  <c r="U25" i="2"/>
  <c r="U88" i="2"/>
  <c r="P85" i="2"/>
  <c r="P24" i="2"/>
  <c r="C24" i="2"/>
  <c r="C85" i="2"/>
  <c r="AB92" i="2"/>
  <c r="AA92" i="2"/>
  <c r="AB93" i="2" s="1"/>
  <c r="G85" i="2"/>
  <c r="G89" i="2" s="1"/>
  <c r="G24" i="2"/>
  <c r="AE21" i="2"/>
  <c r="X43" i="2"/>
  <c r="AA188" i="2" l="1"/>
  <c r="I102" i="2"/>
  <c r="J102" i="2" s="1"/>
  <c r="K102" i="2" s="1"/>
  <c r="L102" i="2" s="1"/>
  <c r="AF86" i="2"/>
  <c r="H96" i="2"/>
  <c r="I26" i="2"/>
  <c r="H106" i="2"/>
  <c r="M88" i="2"/>
  <c r="M25" i="2"/>
  <c r="V106" i="2"/>
  <c r="V96" i="2"/>
  <c r="W32" i="2"/>
  <c r="W26" i="2"/>
  <c r="W106" i="2"/>
  <c r="X26" i="2"/>
  <c r="W96" i="2"/>
  <c r="X32" i="2"/>
  <c r="N25" i="2"/>
  <c r="N88" i="2"/>
  <c r="D184" i="2"/>
  <c r="D185" i="2" s="1"/>
  <c r="E183" i="2"/>
  <c r="G25" i="2"/>
  <c r="G88" i="2"/>
  <c r="P88" i="2"/>
  <c r="P25" i="2"/>
  <c r="AD85" i="2"/>
  <c r="L89" i="2"/>
  <c r="AD89" i="2" s="1"/>
  <c r="AB24" i="2"/>
  <c r="C88" i="2"/>
  <c r="AC24" i="2"/>
  <c r="C25" i="2"/>
  <c r="P89" i="2"/>
  <c r="AE89" i="2" s="1"/>
  <c r="AE85" i="2"/>
  <c r="AE88" i="2"/>
  <c r="Q25" i="2"/>
  <c r="Q88" i="2"/>
  <c r="L31" i="2"/>
  <c r="M31" i="2" s="1"/>
  <c r="N31" i="2" s="1"/>
  <c r="AC30" i="2"/>
  <c r="H88" i="2"/>
  <c r="H25" i="2"/>
  <c r="F25" i="2"/>
  <c r="F88" i="2"/>
  <c r="AB85" i="2"/>
  <c r="AC85" i="2"/>
  <c r="C89" i="2"/>
  <c r="N96" i="2"/>
  <c r="N106" i="2"/>
  <c r="O26" i="2"/>
  <c r="O32" i="2"/>
  <c r="G41" i="2"/>
  <c r="AA40" i="2"/>
  <c r="AA157" i="2" s="1"/>
  <c r="R25" i="2"/>
  <c r="R88" i="2"/>
  <c r="Z88" i="2"/>
  <c r="Z25" i="2"/>
  <c r="AE24" i="2"/>
  <c r="K25" i="2"/>
  <c r="K88" i="2"/>
  <c r="Y25" i="2"/>
  <c r="Y88" i="2"/>
  <c r="AF21" i="2"/>
  <c r="T96" i="2"/>
  <c r="U32" i="2"/>
  <c r="U26" i="2"/>
  <c r="T106" i="2"/>
  <c r="L88" i="2"/>
  <c r="AD24" i="2"/>
  <c r="L25" i="2"/>
  <c r="D88" i="2"/>
  <c r="D25" i="2"/>
  <c r="M102" i="2"/>
  <c r="N102" i="2" s="1"/>
  <c r="O102" i="2" s="1"/>
  <c r="P102" i="2" s="1"/>
  <c r="Q102" i="2" s="1"/>
  <c r="R102" i="2" s="1"/>
  <c r="S102" i="2" s="1"/>
  <c r="T102" i="2" s="1"/>
  <c r="U102" i="2" s="1"/>
  <c r="V102" i="2" s="1"/>
  <c r="W102" i="2" s="1"/>
  <c r="X102" i="2" s="1"/>
  <c r="Y102" i="2" s="1"/>
  <c r="Z102" i="2" s="1"/>
  <c r="X44" i="2"/>
  <c r="M26" i="2" l="1"/>
  <c r="L96" i="2"/>
  <c r="L106" i="2"/>
  <c r="M32" i="2"/>
  <c r="X106" i="2"/>
  <c r="Y32" i="2"/>
  <c r="Y106" i="2"/>
  <c r="Z32" i="2"/>
  <c r="E184" i="2"/>
  <c r="E185" i="2" s="1"/>
  <c r="F183" i="2"/>
  <c r="M106" i="2"/>
  <c r="M96" i="2"/>
  <c r="N32" i="2"/>
  <c r="N26" i="2"/>
  <c r="AD88" i="2"/>
  <c r="AF85" i="2"/>
  <c r="G42" i="2"/>
  <c r="AA41" i="2"/>
  <c r="AA158" i="2" s="1"/>
  <c r="AC31" i="2"/>
  <c r="L26" i="2"/>
  <c r="K96" i="2"/>
  <c r="K106" i="2"/>
  <c r="L32" i="2"/>
  <c r="X96" i="2"/>
  <c r="Y26" i="2"/>
  <c r="Q106" i="2"/>
  <c r="R32" i="2"/>
  <c r="R26" i="2"/>
  <c r="Q96" i="2"/>
  <c r="P32" i="2"/>
  <c r="P26" i="2"/>
  <c r="O96" i="2"/>
  <c r="O106" i="2"/>
  <c r="C106" i="2"/>
  <c r="D26" i="2"/>
  <c r="C96" i="2"/>
  <c r="D32" i="2"/>
  <c r="Y96" i="2"/>
  <c r="Z26" i="2"/>
  <c r="AC89" i="2"/>
  <c r="AF89" i="2" s="1"/>
  <c r="AB89" i="2"/>
  <c r="E106" i="2"/>
  <c r="F32" i="2"/>
  <c r="E96" i="2"/>
  <c r="F26" i="2"/>
  <c r="Q26" i="2"/>
  <c r="P106" i="2"/>
  <c r="Q32" i="2"/>
  <c r="P96" i="2"/>
  <c r="C26" i="2"/>
  <c r="B106" i="2"/>
  <c r="C110" i="2" s="1"/>
  <c r="C114" i="2" s="1"/>
  <c r="C27" i="2"/>
  <c r="D27" i="2" s="1"/>
  <c r="E27" i="2" s="1"/>
  <c r="F27" i="2" s="1"/>
  <c r="G27" i="2" s="1"/>
  <c r="H27" i="2" s="1"/>
  <c r="I27" i="2" s="1"/>
  <c r="J27" i="2" s="1"/>
  <c r="K27" i="2" s="1"/>
  <c r="B96" i="2"/>
  <c r="C101" i="2" s="1"/>
  <c r="C32" i="2"/>
  <c r="G96" i="2"/>
  <c r="G106" i="2"/>
  <c r="H26" i="2"/>
  <c r="H32" i="2"/>
  <c r="H33" i="2" s="1"/>
  <c r="H34" i="2" s="1"/>
  <c r="AF24" i="2"/>
  <c r="K26" i="2"/>
  <c r="J106" i="2"/>
  <c r="K32" i="2"/>
  <c r="K33" i="2" s="1"/>
  <c r="K34" i="2" s="1"/>
  <c r="J96" i="2"/>
  <c r="AD30" i="2"/>
  <c r="AD31" i="2" s="1"/>
  <c r="O31" i="2"/>
  <c r="P31" i="2" s="1"/>
  <c r="Q31" i="2" s="1"/>
  <c r="R31" i="2" s="1"/>
  <c r="S31" i="2" s="1"/>
  <c r="T31" i="2" s="1"/>
  <c r="U31" i="2" s="1"/>
  <c r="V31" i="2" s="1"/>
  <c r="W31" i="2" s="1"/>
  <c r="X31" i="2" s="1"/>
  <c r="Y31" i="2" s="1"/>
  <c r="Z31" i="2" s="1"/>
  <c r="AC88" i="2"/>
  <c r="AB88" i="2"/>
  <c r="F106" i="2"/>
  <c r="G26" i="2"/>
  <c r="G32" i="2"/>
  <c r="G33" i="2" s="1"/>
  <c r="G34" i="2" s="1"/>
  <c r="F96" i="2"/>
  <c r="AA44" i="2"/>
  <c r="AA161" i="2" s="1"/>
  <c r="X45" i="2"/>
  <c r="D33" i="2" l="1"/>
  <c r="D34" i="2" s="1"/>
  <c r="Y33" i="2"/>
  <c r="Y34" i="2" s="1"/>
  <c r="AF88" i="2"/>
  <c r="O33" i="2"/>
  <c r="O34" i="2" s="1"/>
  <c r="Q33" i="2"/>
  <c r="Q34" i="2" s="1"/>
  <c r="F184" i="2"/>
  <c r="F185" i="2" s="1"/>
  <c r="G183" i="2"/>
  <c r="R33" i="2"/>
  <c r="R34" i="2" s="1"/>
  <c r="U33" i="2"/>
  <c r="U34" i="2" s="1"/>
  <c r="Z33" i="2"/>
  <c r="Z34" i="2" s="1"/>
  <c r="AC25" i="2"/>
  <c r="L27" i="2"/>
  <c r="M27" i="2" s="1"/>
  <c r="N27" i="2" s="1"/>
  <c r="AB30" i="2"/>
  <c r="AB31" i="2" s="1"/>
  <c r="AE30" i="2"/>
  <c r="AE31" i="2" s="1"/>
  <c r="T33" i="2"/>
  <c r="T34" i="2" s="1"/>
  <c r="J33" i="2"/>
  <c r="J34" i="2" s="1"/>
  <c r="S33" i="2"/>
  <c r="S34" i="2" s="1"/>
  <c r="W33" i="2"/>
  <c r="W34" i="2" s="1"/>
  <c r="N33" i="2"/>
  <c r="N34" i="2" s="1"/>
  <c r="X33" i="2"/>
  <c r="V33" i="2"/>
  <c r="V34" i="2" s="1"/>
  <c r="E33" i="2"/>
  <c r="E34" i="2" s="1"/>
  <c r="I33" i="2"/>
  <c r="I34" i="2" s="1"/>
  <c r="M33" i="2"/>
  <c r="M34" i="2" s="1"/>
  <c r="AE32" i="2"/>
  <c r="AC32" i="2"/>
  <c r="C33" i="2"/>
  <c r="AB32" i="2"/>
  <c r="D110" i="2"/>
  <c r="P33" i="2"/>
  <c r="P34" i="2" s="1"/>
  <c r="F33" i="2"/>
  <c r="F34" i="2" s="1"/>
  <c r="D101" i="2"/>
  <c r="E101" i="2" s="1"/>
  <c r="F101" i="2" s="1"/>
  <c r="G101" i="2" s="1"/>
  <c r="H101" i="2" s="1"/>
  <c r="I101" i="2" s="1"/>
  <c r="J101" i="2" s="1"/>
  <c r="K101" i="2" s="1"/>
  <c r="L101" i="2" s="1"/>
  <c r="M101" i="2" s="1"/>
  <c r="N101" i="2" s="1"/>
  <c r="O101" i="2" s="1"/>
  <c r="P101" i="2" s="1"/>
  <c r="Q101" i="2" s="1"/>
  <c r="R101" i="2" s="1"/>
  <c r="S101" i="2" s="1"/>
  <c r="T101" i="2" s="1"/>
  <c r="U101" i="2" s="1"/>
  <c r="V101" i="2" s="1"/>
  <c r="W101" i="2" s="1"/>
  <c r="X101" i="2" s="1"/>
  <c r="Y101" i="2" s="1"/>
  <c r="Z101" i="2" s="1"/>
  <c r="L33" i="2"/>
  <c r="AD32" i="2"/>
  <c r="G43" i="2"/>
  <c r="AA43" i="2" s="1"/>
  <c r="AA160" i="2" s="1"/>
  <c r="AA42" i="2"/>
  <c r="AA159" i="2" s="1"/>
  <c r="AA45" i="2"/>
  <c r="AA162" i="2" s="1"/>
  <c r="X46" i="2"/>
  <c r="AF30" i="2" l="1"/>
  <c r="H183" i="2"/>
  <c r="G184" i="2"/>
  <c r="G185" i="2" s="1"/>
  <c r="AF32" i="2"/>
  <c r="AD25" i="2"/>
  <c r="AD26" i="2" s="1"/>
  <c r="O27" i="2"/>
  <c r="P27" i="2" s="1"/>
  <c r="Q27" i="2" s="1"/>
  <c r="R27" i="2" s="1"/>
  <c r="S27" i="2" s="1"/>
  <c r="T27" i="2" s="1"/>
  <c r="U27" i="2" s="1"/>
  <c r="V27" i="2" s="1"/>
  <c r="W27" i="2" s="1"/>
  <c r="X27" i="2" s="1"/>
  <c r="AD33" i="2"/>
  <c r="L34" i="2"/>
  <c r="AD34" i="2" s="1"/>
  <c r="AC33" i="2"/>
  <c r="C34" i="2"/>
  <c r="AB33" i="2"/>
  <c r="D114" i="2"/>
  <c r="E110" i="2"/>
  <c r="AE33" i="2"/>
  <c r="AF33" i="2" s="1"/>
  <c r="X34" i="2"/>
  <c r="AE34" i="2" s="1"/>
  <c r="AC26" i="2"/>
  <c r="AA46" i="2"/>
  <c r="AA163" i="2" s="1"/>
  <c r="X47" i="2"/>
  <c r="I183" i="2" l="1"/>
  <c r="H184" i="2"/>
  <c r="H185" i="2" s="1"/>
  <c r="AC34" i="2"/>
  <c r="AF34" i="2" s="1"/>
  <c r="AB34" i="2"/>
  <c r="AE25" i="2"/>
  <c r="Y27" i="2"/>
  <c r="Z27" i="2" s="1"/>
  <c r="AB25" i="2"/>
  <c r="AB26" i="2" s="1"/>
  <c r="F110" i="2"/>
  <c r="E114" i="2"/>
  <c r="X48" i="2"/>
  <c r="AA47" i="2"/>
  <c r="AA164" i="2" s="1"/>
  <c r="I184" i="2" l="1"/>
  <c r="I185" i="2" s="1"/>
  <c r="J183" i="2"/>
  <c r="F114" i="2"/>
  <c r="G110" i="2"/>
  <c r="AE26" i="2"/>
  <c r="AF25" i="2"/>
  <c r="X49" i="2"/>
  <c r="AA48" i="2"/>
  <c r="AA165" i="2" s="1"/>
  <c r="J184" i="2" l="1"/>
  <c r="J185" i="2" s="1"/>
  <c r="K183" i="2"/>
  <c r="G114" i="2"/>
  <c r="H110" i="2"/>
  <c r="AA49" i="2"/>
  <c r="AA166" i="2" s="1"/>
  <c r="X50" i="2"/>
  <c r="L183" i="2" l="1"/>
  <c r="K184" i="2"/>
  <c r="K185" i="2" s="1"/>
  <c r="H114" i="2"/>
  <c r="I110" i="2"/>
  <c r="X51" i="2"/>
  <c r="AA50" i="2"/>
  <c r="AA167" i="2" s="1"/>
  <c r="L184" i="2" l="1"/>
  <c r="L185" i="2" s="1"/>
  <c r="M183" i="2"/>
  <c r="J110" i="2"/>
  <c r="I114" i="2"/>
  <c r="X52" i="2"/>
  <c r="AA51" i="2"/>
  <c r="AA168" i="2" s="1"/>
  <c r="N183" i="2" l="1"/>
  <c r="M184" i="2"/>
  <c r="M185" i="2" s="1"/>
  <c r="J114" i="2"/>
  <c r="K110" i="2"/>
  <c r="AA52" i="2"/>
  <c r="AA169" i="2" s="1"/>
  <c r="X53" i="2"/>
  <c r="N184" i="2" l="1"/>
  <c r="N185" i="2" s="1"/>
  <c r="O183" i="2"/>
  <c r="L110" i="2"/>
  <c r="K114" i="2"/>
  <c r="AA53" i="2"/>
  <c r="AA170" i="2" s="1"/>
  <c r="X54" i="2"/>
  <c r="O184" i="2" l="1"/>
  <c r="O185" i="2" s="1"/>
  <c r="P183" i="2"/>
  <c r="L114" i="2"/>
  <c r="M110" i="2"/>
  <c r="X55" i="2"/>
  <c r="AA54" i="2"/>
  <c r="AA171" i="2" s="1"/>
  <c r="Q183" i="2" l="1"/>
  <c r="P184" i="2"/>
  <c r="P185" i="2" s="1"/>
  <c r="N110" i="2"/>
  <c r="M114" i="2"/>
  <c r="X56" i="2"/>
  <c r="AA55" i="2"/>
  <c r="AA172" i="2" s="1"/>
  <c r="R183" i="2" l="1"/>
  <c r="Q184" i="2"/>
  <c r="Q185" i="2" s="1"/>
  <c r="N114" i="2"/>
  <c r="O110" i="2"/>
  <c r="AA56" i="2"/>
  <c r="AA173" i="2" s="1"/>
  <c r="X57" i="2"/>
  <c r="S183" i="2" l="1"/>
  <c r="R184" i="2"/>
  <c r="R185" i="2" s="1"/>
  <c r="O114" i="2"/>
  <c r="P110" i="2"/>
  <c r="X58" i="2"/>
  <c r="AA57" i="2"/>
  <c r="AA174" i="2" s="1"/>
  <c r="T183" i="2" l="1"/>
  <c r="S184" i="2"/>
  <c r="S185" i="2" s="1"/>
  <c r="P114" i="2"/>
  <c r="Q110" i="2"/>
  <c r="X59" i="2"/>
  <c r="AA58" i="2"/>
  <c r="AA175" i="2" s="1"/>
  <c r="T184" i="2" l="1"/>
  <c r="T185" i="2" s="1"/>
  <c r="U183" i="2"/>
  <c r="R110" i="2"/>
  <c r="Q114" i="2"/>
  <c r="X60" i="2"/>
  <c r="AA60" i="2" s="1"/>
  <c r="AA177" i="2" s="1"/>
  <c r="AA59" i="2"/>
  <c r="AA176" i="2" s="1"/>
  <c r="V183" i="2" l="1"/>
  <c r="U184" i="2"/>
  <c r="U185" i="2" s="1"/>
  <c r="R114" i="2"/>
  <c r="S110" i="2"/>
  <c r="V184" i="2" l="1"/>
  <c r="V185" i="2" s="1"/>
  <c r="W183" i="2"/>
  <c r="S114" i="2"/>
  <c r="T110" i="2"/>
  <c r="X183" i="2" l="1"/>
  <c r="W184" i="2"/>
  <c r="W185" i="2" s="1"/>
  <c r="W186" i="2" s="1"/>
  <c r="V186" i="2"/>
  <c r="T114" i="2"/>
  <c r="U110" i="2"/>
  <c r="Y183" i="2" l="1"/>
  <c r="AA183" i="2"/>
  <c r="F186" i="2"/>
  <c r="I186" i="2"/>
  <c r="M186" i="2"/>
  <c r="Q186" i="2"/>
  <c r="X184" i="2"/>
  <c r="X185" i="2" s="1"/>
  <c r="AA185" i="2" s="1"/>
  <c r="E186" i="2"/>
  <c r="N186" i="2"/>
  <c r="R186" i="2"/>
  <c r="C186" i="2"/>
  <c r="H186" i="2"/>
  <c r="L186" i="2"/>
  <c r="P186" i="2"/>
  <c r="T186" i="2"/>
  <c r="J186" i="2"/>
  <c r="D186" i="2"/>
  <c r="G186" i="2"/>
  <c r="K186" i="2"/>
  <c r="O186" i="2"/>
  <c r="S186" i="2"/>
  <c r="U186" i="2"/>
  <c r="U114" i="2"/>
  <c r="V110" i="2"/>
  <c r="X186" i="2" l="1"/>
  <c r="X187" i="2" s="1"/>
  <c r="AA187" i="2" s="1"/>
  <c r="Z183" i="2"/>
  <c r="Z184" i="2" s="1"/>
  <c r="Z185" i="2" s="1"/>
  <c r="Z186" i="2" s="1"/>
  <c r="Y184" i="2"/>
  <c r="Y185" i="2" s="1"/>
  <c r="Y186" i="2" s="1"/>
  <c r="W110" i="2"/>
  <c r="V114" i="2"/>
  <c r="X110" i="2" l="1"/>
  <c r="W114" i="2"/>
  <c r="X114" i="2" l="1"/>
  <c r="Y110" i="2"/>
  <c r="Z110" i="2" l="1"/>
  <c r="Z114" i="2" s="1"/>
  <c r="Y114" i="2"/>
</calcChain>
</file>

<file path=xl/comments1.xml><?xml version="1.0" encoding="utf-8"?>
<comments xmlns="http://schemas.openxmlformats.org/spreadsheetml/2006/main">
  <authors>
    <author>Martínez, Mª del Mar</author>
  </authors>
  <commentList>
    <comment ref="K2" authorId="0" shapeId="0">
      <text>
        <r>
          <rPr>
            <b/>
            <sz val="9"/>
            <color indexed="81"/>
            <rFont val="Tahoma"/>
            <charset val="1"/>
          </rPr>
          <t>=DSGRID("U:GE","P;NOSH;MV;RZ","1990-12-31","TIME","M","RowHeader=true;ColHeader=true;DispSeriesDescription=false;YearlyTSFormat=false;QuarterlyTSFormat=false","")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<sst xmlns="http://schemas.openxmlformats.org/spreadsheetml/2006/main" count="183" uniqueCount="108">
  <si>
    <t>General Electric ($ million)</t>
  </si>
  <si>
    <t>2001</t>
  </si>
  <si>
    <t>2002</t>
  </si>
  <si>
    <t>Increase of equity market value</t>
  </si>
  <si>
    <t>2003</t>
  </si>
  <si>
    <t>2004</t>
  </si>
  <si>
    <t xml:space="preserve"> + Dividends</t>
  </si>
  <si>
    <t>NA</t>
  </si>
  <si>
    <t xml:space="preserve"> = Shareholder value added</t>
  </si>
  <si>
    <t>10-year Treasury bonds (year-end yield)</t>
  </si>
  <si>
    <t>Required return to equity (Ke)</t>
  </si>
  <si>
    <t>Shareholder return</t>
  </si>
  <si>
    <t>Created shareholder value</t>
  </si>
  <si>
    <t>ROE</t>
  </si>
  <si>
    <t>Capitalization</t>
  </si>
  <si>
    <t>equity book value</t>
  </si>
  <si>
    <t>Index return</t>
  </si>
  <si>
    <t>Dividends paid</t>
  </si>
  <si>
    <t>Repurchases</t>
  </si>
  <si>
    <t>Capital increases</t>
  </si>
  <si>
    <t>Net income</t>
  </si>
  <si>
    <t>10-year T bonds (% year-end yield)</t>
  </si>
  <si>
    <t>Price/share increase</t>
  </si>
  <si>
    <t>Difference</t>
  </si>
  <si>
    <t>Price per share datastream</t>
  </si>
  <si>
    <t>Price per share CALC</t>
  </si>
  <si>
    <r>
      <rPr>
        <b/>
        <sz val="9"/>
        <rFont val="Symbol"/>
        <family val="1"/>
        <charset val="2"/>
      </rPr>
      <t>D</t>
    </r>
    <r>
      <rPr>
        <b/>
        <sz val="9"/>
        <rFont val="Arial Narrow"/>
        <family val="2"/>
      </rPr>
      <t xml:space="preserve"> Number of shares</t>
    </r>
  </si>
  <si>
    <t>Number of shares (million) OK</t>
  </si>
  <si>
    <t>General Electric ($ BIllion)</t>
  </si>
  <si>
    <t>end of the year data</t>
  </si>
  <si>
    <t>Average /Sum</t>
  </si>
  <si>
    <t>1991-2012</t>
  </si>
  <si>
    <t>91-99</t>
  </si>
  <si>
    <t>00-02</t>
  </si>
  <si>
    <t>03-12</t>
  </si>
  <si>
    <t>Capitalization (E)</t>
  </si>
  <si>
    <t xml:space="preserve"> + Dividends paid</t>
  </si>
  <si>
    <t>Equity book value (Ebv)</t>
  </si>
  <si>
    <t>Ebv count</t>
  </si>
  <si>
    <t>Repurchase net</t>
  </si>
  <si>
    <t>Shareholder return (index)</t>
  </si>
  <si>
    <t>dif</t>
  </si>
  <si>
    <t>Required return to equity (Ke %)</t>
  </si>
  <si>
    <t>MRP</t>
  </si>
  <si>
    <t>Beta</t>
  </si>
  <si>
    <t>Created shareholder value (in 2012$)</t>
  </si>
  <si>
    <t>Total flow</t>
  </si>
  <si>
    <t>Increase of equity market value (in 2012$)</t>
  </si>
  <si>
    <t xml:space="preserve"> + Net payments to shareholders</t>
  </si>
  <si>
    <t>adjusted</t>
  </si>
  <si>
    <t>Number of shares (billion)</t>
  </si>
  <si>
    <t>All-shareholder return</t>
  </si>
  <si>
    <t>Ke</t>
  </si>
  <si>
    <t>Max</t>
  </si>
  <si>
    <t>min</t>
  </si>
  <si>
    <t>Benchmark</t>
  </si>
  <si>
    <t>If the shareholder return is greater than benchmark</t>
  </si>
  <si>
    <t>zero</t>
  </si>
  <si>
    <t>shareholder value added</t>
  </si>
  <si>
    <t>treasury bond return</t>
  </si>
  <si>
    <t>the shareholders have obtained an</t>
  </si>
  <si>
    <t>additional return due to greater risk</t>
  </si>
  <si>
    <t>Shareholder</t>
  </si>
  <si>
    <t>required return to equity</t>
  </si>
  <si>
    <t>shareholder value created</t>
  </si>
  <si>
    <t>return</t>
  </si>
  <si>
    <t>return for shareholders in companies</t>
  </si>
  <si>
    <t>company outperforms its industry</t>
  </si>
  <si>
    <t>in the same industry</t>
  </si>
  <si>
    <t>market return</t>
  </si>
  <si>
    <t>company outperforms market</t>
  </si>
  <si>
    <t>expected return to equity</t>
  </si>
  <si>
    <t>company outperforms expectations</t>
  </si>
  <si>
    <t>General Electric ROW DATA</t>
  </si>
  <si>
    <t>Number of shares</t>
  </si>
  <si>
    <t>Price per share</t>
  </si>
  <si>
    <t>Price return</t>
  </si>
  <si>
    <t>Total return (includes dividends)</t>
  </si>
  <si>
    <t>Dividends/Capitalization</t>
  </si>
  <si>
    <t>E (Equity market value) / Ebv (Equity book value)</t>
  </si>
  <si>
    <t>Return Datastream</t>
  </si>
  <si>
    <t xml:space="preserve">From </t>
  </si>
  <si>
    <t>To</t>
  </si>
  <si>
    <t>Return</t>
  </si>
  <si>
    <t>All-share return</t>
  </si>
  <si>
    <t>Until 2012</t>
  </si>
  <si>
    <t>Dividends</t>
  </si>
  <si>
    <t>All period shareholders</t>
  </si>
  <si>
    <t>All-shareholders</t>
  </si>
  <si>
    <t>P</t>
  </si>
  <si>
    <t>Year end data</t>
  </si>
  <si>
    <r>
      <t>Increase of equity market value (</t>
    </r>
    <r>
      <rPr>
        <sz val="9"/>
        <color indexed="8"/>
        <rFont val="Symbol"/>
        <family val="1"/>
        <charset val="2"/>
      </rPr>
      <t>D</t>
    </r>
    <r>
      <rPr>
        <sz val="9"/>
        <color indexed="8"/>
        <rFont val="Arial Narrow"/>
        <family val="2"/>
      </rPr>
      <t>E)</t>
    </r>
  </si>
  <si>
    <t xml:space="preserve"> + Other Net payments to shareholders</t>
  </si>
  <si>
    <t>Fig.1</t>
  </si>
  <si>
    <t>sum</t>
  </si>
  <si>
    <t>Anual</t>
  </si>
  <si>
    <t>General Electric</t>
  </si>
  <si>
    <t>Total Return</t>
  </si>
  <si>
    <t>Control</t>
  </si>
  <si>
    <t>Repurch / (Cap incr)</t>
  </si>
  <si>
    <t>Total return</t>
  </si>
  <si>
    <t>Source: Datastream</t>
  </si>
  <si>
    <t>Cap billion US$</t>
  </si>
  <si>
    <t>Share price</t>
  </si>
  <si>
    <t>GENERAL ELECTRIC</t>
  </si>
  <si>
    <t>GENERAL ELECTRIC - NUMBER OF SHARES</t>
  </si>
  <si>
    <t>GENERAL ELECTRIC - MARKET VALUE</t>
  </si>
  <si>
    <t>GENERAL ELECTRIC - RETURN IND AS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</si>
</sst>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%"/>
    <numFmt numFmtId="167" formatCode="#,##0.0"/>
  </numFmts>
  <fonts count="35">
    <font>
      <sz val="10"/>
      <name val="Geneva"/>
    </font>
    <font>
      <sz val="11"/>
      <color theme="1"/>
      <name val="Calibri"/>
      <family val="2"/>
      <scheme val="minor"/>
    </font>
    <font>
      <b/>
      <sz val="10"/>
      <name val="Geneva"/>
    </font>
    <font>
      <sz val="10"/>
      <name val="Geneva"/>
    </font>
    <font>
      <b/>
      <sz val="9"/>
      <name val="Tms Rmn"/>
    </font>
    <font>
      <sz val="9"/>
      <name val="Tms Rmn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Geneva"/>
    </font>
    <font>
      <i/>
      <sz val="9"/>
      <name val="Arial Narrow"/>
      <family val="2"/>
    </font>
    <font>
      <i/>
      <sz val="9"/>
      <name val="Tms Rmn"/>
    </font>
    <font>
      <i/>
      <sz val="9"/>
      <name val="Geneva"/>
    </font>
    <font>
      <b/>
      <sz val="9"/>
      <name val="Symbol"/>
      <family val="1"/>
      <charset val="2"/>
    </font>
    <font>
      <b/>
      <sz val="9"/>
      <name val="Geneva"/>
    </font>
    <font>
      <b/>
      <i/>
      <sz val="9"/>
      <name val="Arial Narrow"/>
      <family val="2"/>
    </font>
    <font>
      <b/>
      <i/>
      <sz val="9"/>
      <name val="Tms Rmn"/>
    </font>
    <font>
      <b/>
      <i/>
      <sz val="9"/>
      <name val="Geneva"/>
    </font>
    <font>
      <sz val="9"/>
      <color indexed="8"/>
      <name val="Arial Narrow"/>
      <family val="2"/>
    </font>
    <font>
      <sz val="9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i/>
      <sz val="10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5">
    <xf numFmtId="0" fontId="0" fillId="0" borderId="0" xfId="0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6" fillId="0" borderId="0" xfId="0" applyFont="1"/>
    <xf numFmtId="10" fontId="5" fillId="0" borderId="0" xfId="1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8" fillId="0" borderId="1" xfId="0" applyNumberFormat="1" applyFont="1" applyBorder="1"/>
    <xf numFmtId="3" fontId="21" fillId="0" borderId="1" xfId="0" applyNumberFormat="1" applyFont="1" applyBorder="1"/>
    <xf numFmtId="1" fontId="9" fillId="0" borderId="0" xfId="0" applyNumberFormat="1" applyFont="1"/>
    <xf numFmtId="0" fontId="8" fillId="0" borderId="1" xfId="0" applyFont="1" applyBorder="1"/>
    <xf numFmtId="1" fontId="7" fillId="0" borderId="1" xfId="0" applyNumberFormat="1" applyFont="1" applyBorder="1"/>
    <xf numFmtId="0" fontId="7" fillId="0" borderId="1" xfId="0" applyFont="1" applyBorder="1"/>
    <xf numFmtId="4" fontId="21" fillId="0" borderId="1" xfId="0" applyNumberFormat="1" applyFont="1" applyBorder="1"/>
    <xf numFmtId="1" fontId="7" fillId="0" borderId="1" xfId="0" applyNumberFormat="1" applyFont="1" applyFill="1" applyBorder="1"/>
    <xf numFmtId="166" fontId="21" fillId="0" borderId="1" xfId="1" applyNumberFormat="1" applyFont="1" applyBorder="1"/>
    <xf numFmtId="1" fontId="10" fillId="0" borderId="1" xfId="0" applyNumberFormat="1" applyFont="1" applyBorder="1"/>
    <xf numFmtId="1" fontId="12" fillId="0" borderId="0" xfId="0" applyNumberFormat="1" applyFont="1"/>
    <xf numFmtId="3" fontId="10" fillId="0" borderId="1" xfId="0" applyNumberFormat="1" applyFont="1" applyBorder="1"/>
    <xf numFmtId="166" fontId="10" fillId="0" borderId="1" xfId="1" applyNumberFormat="1" applyFont="1" applyBorder="1"/>
    <xf numFmtId="167" fontId="21" fillId="0" borderId="1" xfId="0" applyNumberFormat="1" applyFont="1" applyBorder="1"/>
    <xf numFmtId="3" fontId="22" fillId="0" borderId="1" xfId="0" applyNumberFormat="1" applyFont="1" applyBorder="1"/>
    <xf numFmtId="1" fontId="14" fillId="0" borderId="0" xfId="0" applyNumberFormat="1" applyFont="1"/>
    <xf numFmtId="3" fontId="22" fillId="0" borderId="2" xfId="0" applyNumberFormat="1" applyFont="1" applyBorder="1"/>
    <xf numFmtId="3" fontId="22" fillId="0" borderId="3" xfId="0" applyNumberFormat="1" applyFont="1" applyBorder="1"/>
    <xf numFmtId="3" fontId="22" fillId="0" borderId="4" xfId="0" applyNumberFormat="1" applyFont="1" applyBorder="1"/>
    <xf numFmtId="1" fontId="7" fillId="0" borderId="0" xfId="0" applyNumberFormat="1" applyFont="1"/>
    <xf numFmtId="1" fontId="10" fillId="0" borderId="0" xfId="0" applyNumberFormat="1" applyFont="1"/>
    <xf numFmtId="1" fontId="8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8" fillId="0" borderId="0" xfId="0" applyFont="1" applyBorder="1"/>
    <xf numFmtId="167" fontId="21" fillId="0" borderId="0" xfId="0" applyNumberFormat="1" applyFont="1" applyBorder="1"/>
    <xf numFmtId="1" fontId="5" fillId="0" borderId="0" xfId="0" applyNumberFormat="1" applyFont="1" applyBorder="1"/>
    <xf numFmtId="167" fontId="22" fillId="0" borderId="0" xfId="0" applyNumberFormat="1" applyFont="1" applyBorder="1"/>
    <xf numFmtId="166" fontId="22" fillId="0" borderId="1" xfId="1" applyNumberFormat="1" applyFont="1" applyBorder="1"/>
    <xf numFmtId="166" fontId="21" fillId="0" borderId="0" xfId="1" applyNumberFormat="1" applyFont="1" applyBorder="1"/>
    <xf numFmtId="0" fontId="15" fillId="0" borderId="0" xfId="0" applyFont="1" applyBorder="1"/>
    <xf numFmtId="167" fontId="23" fillId="0" borderId="0" xfId="0" applyNumberFormat="1" applyFont="1" applyBorder="1"/>
    <xf numFmtId="166" fontId="23" fillId="0" borderId="0" xfId="1" applyNumberFormat="1" applyFont="1" applyBorder="1"/>
    <xf numFmtId="166" fontId="24" fillId="0" borderId="0" xfId="1" applyNumberFormat="1" applyFont="1" applyBorder="1"/>
    <xf numFmtId="1" fontId="11" fillId="0" borderId="0" xfId="0" applyNumberFormat="1" applyFont="1" applyBorder="1"/>
    <xf numFmtId="167" fontId="22" fillId="0" borderId="1" xfId="0" applyNumberFormat="1" applyFont="1" applyBorder="1"/>
    <xf numFmtId="1" fontId="4" fillId="0" borderId="0" xfId="0" applyNumberFormat="1" applyFont="1" applyBorder="1"/>
    <xf numFmtId="9" fontId="8" fillId="0" borderId="0" xfId="1" applyFont="1"/>
    <xf numFmtId="9" fontId="14" fillId="0" borderId="0" xfId="1" applyNumberFormat="1" applyFont="1"/>
    <xf numFmtId="166" fontId="15" fillId="0" borderId="0" xfId="1" applyNumberFormat="1" applyFont="1"/>
    <xf numFmtId="164" fontId="21" fillId="0" borderId="1" xfId="1" applyNumberFormat="1" applyFont="1" applyBorder="1"/>
    <xf numFmtId="0" fontId="14" fillId="0" borderId="0" xfId="0" applyFont="1"/>
    <xf numFmtId="10" fontId="5" fillId="0" borderId="0" xfId="1" applyNumberFormat="1" applyFont="1" applyBorder="1"/>
    <xf numFmtId="166" fontId="7" fillId="0" borderId="0" xfId="1" applyNumberFormat="1" applyFont="1" applyBorder="1"/>
    <xf numFmtId="166" fontId="8" fillId="0" borderId="0" xfId="1" applyNumberFormat="1" applyFont="1" applyBorder="1"/>
    <xf numFmtId="167" fontId="6" fillId="0" borderId="0" xfId="0" applyNumberFormat="1" applyFont="1"/>
    <xf numFmtId="166" fontId="22" fillId="0" borderId="0" xfId="1" applyNumberFormat="1" applyFont="1" applyBorder="1"/>
    <xf numFmtId="3" fontId="0" fillId="0" borderId="0" xfId="0" applyNumberFormat="1"/>
    <xf numFmtId="9" fontId="0" fillId="0" borderId="0" xfId="0" applyNumberFormat="1"/>
    <xf numFmtId="3" fontId="6" fillId="0" borderId="0" xfId="0" applyNumberFormat="1" applyFont="1"/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8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9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" fontId="28" fillId="0" borderId="1" xfId="0" applyNumberFormat="1" applyFont="1" applyBorder="1"/>
    <xf numFmtId="1" fontId="28" fillId="0" borderId="1" xfId="0" quotePrefix="1" applyNumberFormat="1" applyFont="1" applyBorder="1"/>
    <xf numFmtId="164" fontId="28" fillId="0" borderId="1" xfId="0" applyNumberFormat="1" applyFont="1" applyBorder="1"/>
    <xf numFmtId="167" fontId="24" fillId="0" borderId="0" xfId="0" applyNumberFormat="1" applyFont="1" applyBorder="1"/>
    <xf numFmtId="1" fontId="16" fillId="0" borderId="0" xfId="0" applyNumberFormat="1" applyFont="1" applyBorder="1"/>
    <xf numFmtId="1" fontId="15" fillId="0" borderId="0" xfId="0" applyNumberFormat="1" applyFont="1"/>
    <xf numFmtId="1" fontId="17" fillId="0" borderId="0" xfId="0" applyNumberFormat="1" applyFont="1"/>
    <xf numFmtId="0" fontId="2" fillId="0" borderId="0" xfId="0" applyFont="1"/>
    <xf numFmtId="9" fontId="6" fillId="0" borderId="1" xfId="1" applyFont="1" applyBorder="1"/>
    <xf numFmtId="166" fontId="6" fillId="0" borderId="1" xfId="1" applyNumberFormat="1" applyFont="1" applyBorder="1"/>
    <xf numFmtId="166" fontId="0" fillId="0" borderId="0" xfId="0" applyNumberFormat="1"/>
    <xf numFmtId="164" fontId="0" fillId="0" borderId="0" xfId="0" applyNumberFormat="1"/>
    <xf numFmtId="0" fontId="4" fillId="0" borderId="0" xfId="0" applyFont="1" applyBorder="1"/>
    <xf numFmtId="164" fontId="2" fillId="0" borderId="0" xfId="0" applyNumberFormat="1" applyFont="1"/>
    <xf numFmtId="165" fontId="0" fillId="0" borderId="4" xfId="0" applyNumberFormat="1" applyBorder="1"/>
    <xf numFmtId="167" fontId="0" fillId="0" borderId="0" xfId="0" applyNumberFormat="1"/>
    <xf numFmtId="166" fontId="2" fillId="0" borderId="0" xfId="0" applyNumberFormat="1" applyFont="1"/>
    <xf numFmtId="10" fontId="4" fillId="0" borderId="0" xfId="1" applyNumberFormat="1" applyFont="1"/>
    <xf numFmtId="164" fontId="4" fillId="0" borderId="0" xfId="0" applyNumberFormat="1" applyFont="1" applyBorder="1"/>
    <xf numFmtId="0" fontId="7" fillId="0" borderId="1" xfId="0" applyFont="1" applyFill="1" applyBorder="1"/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2" fontId="0" fillId="0" borderId="0" xfId="0" applyNumberFormat="1"/>
    <xf numFmtId="2" fontId="31" fillId="0" borderId="0" xfId="0" applyNumberFormat="1" applyFont="1"/>
    <xf numFmtId="0" fontId="28" fillId="0" borderId="0" xfId="0" applyFont="1"/>
    <xf numFmtId="2" fontId="32" fillId="0" borderId="0" xfId="0" applyNumberFormat="1" applyFont="1"/>
    <xf numFmtId="2" fontId="28" fillId="0" borderId="0" xfId="0" applyNumberFormat="1" applyFont="1"/>
    <xf numFmtId="1" fontId="0" fillId="0" borderId="0" xfId="0" applyNumberFormat="1"/>
    <xf numFmtId="14" fontId="28" fillId="0" borderId="1" xfId="0" applyNumberFormat="1" applyFont="1" applyBorder="1"/>
    <xf numFmtId="0" fontId="31" fillId="0" borderId="1" xfId="0" applyFont="1" applyBorder="1"/>
    <xf numFmtId="0" fontId="32" fillId="0" borderId="1" xfId="0" applyFont="1" applyBorder="1" applyAlignment="1">
      <alignment horizontal="center"/>
    </xf>
    <xf numFmtId="0" fontId="33" fillId="0" borderId="1" xfId="0" applyFont="1" applyBorder="1"/>
    <xf numFmtId="0" fontId="20" fillId="0" borderId="0" xfId="0" applyFont="1"/>
    <xf numFmtId="1" fontId="2" fillId="0" borderId="0" xfId="0" applyNumberFormat="1" applyFont="1"/>
    <xf numFmtId="0" fontId="6" fillId="0" borderId="1" xfId="0" applyFont="1" applyBorder="1"/>
    <xf numFmtId="1" fontId="6" fillId="0" borderId="1" xfId="0" applyNumberFormat="1" applyFont="1" applyBorder="1"/>
    <xf numFmtId="167" fontId="21" fillId="2" borderId="0" xfId="0" applyNumberFormat="1" applyFont="1" applyFill="1" applyBorder="1"/>
    <xf numFmtId="3" fontId="21" fillId="0" borderId="0" xfId="0" applyNumberFormat="1" applyFont="1" applyBorder="1"/>
    <xf numFmtId="0" fontId="5" fillId="0" borderId="0" xfId="0" applyFont="1" applyBorder="1"/>
    <xf numFmtId="1" fontId="9" fillId="0" borderId="0" xfId="0" applyNumberFormat="1" applyFont="1" applyBorder="1"/>
    <xf numFmtId="2" fontId="28" fillId="0" borderId="1" xfId="0" applyNumberFormat="1" applyFont="1" applyBorder="1"/>
    <xf numFmtId="0" fontId="28" fillId="0" borderId="1" xfId="0" applyFont="1" applyBorder="1"/>
    <xf numFmtId="2" fontId="32" fillId="0" borderId="1" xfId="0" applyNumberFormat="1" applyFont="1" applyBorder="1" applyAlignment="1">
      <alignment horizontal="center"/>
    </xf>
    <xf numFmtId="166" fontId="1" fillId="0" borderId="0" xfId="1" applyNumberFormat="1" applyFont="1"/>
    <xf numFmtId="14" fontId="0" fillId="0" borderId="0" xfId="0" applyNumberFormat="1"/>
    <xf numFmtId="14" fontId="0" fillId="0" borderId="1" xfId="0" applyNumberFormat="1" applyBorder="1"/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thomsonreutersshim.dfortdformula">
      <tp t="s">
        <v>Name</v>
        <stp/>
        <stp>25156a91-7569-4d0f-83bc-0dd4424437b3</stp>
        <tr r="K2" s="5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59DC45F5-F19A-11D2-A98A-0004AC83E4DD}" ax:persistence="persistPropertyBag">
  <ax:ocxPr ax:name="_ExtentX" ax:value="1720"/>
  <ax:ocxPr ax:name="_ExtentY" ax:value="450"/>
  <ax:ocxPr ax:name="RequestType" ax:value="0"/>
  <ax:ocxPr ax:name="Format" ax:value="RCND"/>
  <ax:ocxPr ax:name="NumRows" ax:value="324"/>
  <ax:ocxPr ax:name="NumCols" ax:value="5"/>
  <ax:ocxPr ax:name="AutoRefresh" ax:value="-1"/>
  <ax:ocxPr ax:name="LastRefreshed" ax:value="04/10/2017 11:52:12"/>
  <ax:ocxPr ax:name="MSChart" ax:value="0"/>
  <ax:ocxPr ax:name="SeriesCode" ax:value="U:GE"/>
  <ax:ocxPr ax:name="DataTypes" ax:value="P,NOSH,MV,RZ"/>
  <ax:ocxPr ax:name="Frequency" ax:value="M"/>
  <ax:ocxPr ax:name="UseAbsolute1" ax:value="-1"/>
  <ax:ocxPr ax:name="DateAbsolute1" ax:value="33238"/>
  <ax:ocxPr ax:name="DateLiteral2" ax:value="TODAY"/>
  <ax:ocxPr ax:name="Font">
    <ax:font ax:persistence="persistPropertyBag">
      <ax:ocxPr ax:name="Name" ax:value="MS Sans Serif"/>
      <ax:ocxPr ax:name="Size" ax:value="8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Origin" ax:value="K2"/>
  <ax:ocxPr ax:name="TriggerAt" ax:value=""/>
  <ax:ocxPr ax:name="CodesSection" ax:value=""/>
  <ax:ocxPr ax:name="DataTypesSection" ax:value=""/>
  <ax:ocxPr ax:name="WriteILXSection" ax:value="0"/>
  <ax:ocxPr ax:name="AcceptILXSection" ax:value="0"/>
  <ax:ocxPr ax:name="CellReferenceForm" ax:value="1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GE</a:t>
            </a:r>
          </a:p>
        </c:rich>
      </c:tx>
      <c:layout>
        <c:manualLayout>
          <c:xMode val="edge"/>
          <c:yMode val="edge"/>
          <c:x val="6.8786782934628837E-2"/>
          <c:y val="4.18530505772668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5.0908356735128391E-2"/>
          <c:y val="5.5555555555555552E-2"/>
          <c:w val="0.93177820604592254"/>
          <c:h val="0.65219365651582706"/>
        </c:manualLayout>
      </c:layout>
      <c:scatterChart>
        <c:scatterStyle val="lineMarker"/>
        <c:varyColors val="0"/>
        <c:ser>
          <c:idx val="1"/>
          <c:order val="0"/>
          <c:tx>
            <c:strRef>
              <c:f>GEmonth!$D$3</c:f>
              <c:strCache>
                <c:ptCount val="1"/>
                <c:pt idx="0">
                  <c:v>Capitalization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GEmonth!$A$4:$A$344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 formatCode="0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 formatCode="0.00">
                  <c:v>42123</c:v>
                </c:pt>
              </c:numCache>
            </c:numRef>
          </c:xVal>
          <c:yVal>
            <c:numRef>
              <c:f>GEmonth!$E$4:$E$344</c:f>
              <c:numCache>
                <c:formatCode>0.0</c:formatCode>
                <c:ptCount val="341"/>
                <c:pt idx="0">
                  <c:v>4.5955000000000004</c:v>
                </c:pt>
                <c:pt idx="1">
                  <c:v>5.1261347533740755</c:v>
                </c:pt>
                <c:pt idx="2">
                  <c:v>5.4873754212554626</c:v>
                </c:pt>
                <c:pt idx="3">
                  <c:v>5.6185335714400901</c:v>
                </c:pt>
                <c:pt idx="4">
                  <c:v>5.709306867471823</c:v>
                </c:pt>
                <c:pt idx="5">
                  <c:v>6.2749912282116203</c:v>
                </c:pt>
                <c:pt idx="6">
                  <c:v>6.0109706128964646</c:v>
                </c:pt>
                <c:pt idx="7">
                  <c:v>5.950059878742926</c:v>
                </c:pt>
                <c:pt idx="8">
                  <c:v>6.0821072367254141</c:v>
                </c:pt>
                <c:pt idx="9">
                  <c:v>5.676702581550221</c:v>
                </c:pt>
                <c:pt idx="10">
                  <c:v>5.6459508118741635</c:v>
                </c:pt>
                <c:pt idx="11">
                  <c:v>5.2981964622603481</c:v>
                </c:pt>
                <c:pt idx="12">
                  <c:v>6.3129307609203931</c:v>
                </c:pt>
                <c:pt idx="13">
                  <c:v>6.2097826563684153</c:v>
                </c:pt>
                <c:pt idx="14">
                  <c:v>6.488326999048649</c:v>
                </c:pt>
                <c:pt idx="15">
                  <c:v>6.2948502023638691</c:v>
                </c:pt>
                <c:pt idx="16">
                  <c:v>6.367542939839077</c:v>
                </c:pt>
                <c:pt idx="17">
                  <c:v>6.3467947578889667</c:v>
                </c:pt>
                <c:pt idx="18">
                  <c:v>6.5081118725510754</c:v>
                </c:pt>
                <c:pt idx="19">
                  <c:v>6.4034817550026615</c:v>
                </c:pt>
                <c:pt idx="20">
                  <c:v>6.1942215199058328</c:v>
                </c:pt>
                <c:pt idx="21">
                  <c:v>6.599181571182096</c:v>
                </c:pt>
                <c:pt idx="22">
                  <c:v>6.4726917619362441</c:v>
                </c:pt>
                <c:pt idx="23">
                  <c:v>7.020888369318091</c:v>
                </c:pt>
                <c:pt idx="24">
                  <c:v>7.2659392182788585</c:v>
                </c:pt>
                <c:pt idx="25">
                  <c:v>7.3190693842011063</c:v>
                </c:pt>
                <c:pt idx="26">
                  <c:v>7.1490824935098445</c:v>
                </c:pt>
                <c:pt idx="27">
                  <c:v>7.6297734089040112</c:v>
                </c:pt>
                <c:pt idx="28">
                  <c:v>7.7581157343954077</c:v>
                </c:pt>
                <c:pt idx="29">
                  <c:v>7.9400328297079836</c:v>
                </c:pt>
                <c:pt idx="30">
                  <c:v>8.2518483641582137</c:v>
                </c:pt>
                <c:pt idx="31">
                  <c:v>8.4888222422884052</c:v>
                </c:pt>
                <c:pt idx="32">
                  <c:v>8.4672589531902567</c:v>
                </c:pt>
                <c:pt idx="33">
                  <c:v>8.3160936275537374</c:v>
                </c:pt>
                <c:pt idx="34">
                  <c:v>8.4136841833690799</c:v>
                </c:pt>
                <c:pt idx="35">
                  <c:v>8.5329862295822156</c:v>
                </c:pt>
                <c:pt idx="36">
                  <c:v>9.1584698147282264</c:v>
                </c:pt>
                <c:pt idx="37">
                  <c:v>9.4095228163245626</c:v>
                </c:pt>
                <c:pt idx="38">
                  <c:v>9.2021891981231008</c:v>
                </c:pt>
                <c:pt idx="39">
                  <c:v>8.7921903026589536</c:v>
                </c:pt>
                <c:pt idx="40">
                  <c:v>8.3745590402631596</c:v>
                </c:pt>
                <c:pt idx="41">
                  <c:v>8.7482486173146121</c:v>
                </c:pt>
                <c:pt idx="42">
                  <c:v>8.2611850460357683</c:v>
                </c:pt>
                <c:pt idx="43">
                  <c:v>8.9256455729880564</c:v>
                </c:pt>
                <c:pt idx="44">
                  <c:v>8.8149392021542514</c:v>
                </c:pt>
                <c:pt idx="45">
                  <c:v>8.5893027234468011</c:v>
                </c:pt>
                <c:pt idx="46">
                  <c:v>8.7232025976748364</c:v>
                </c:pt>
                <c:pt idx="47">
                  <c:v>8.2100555976587124</c:v>
                </c:pt>
                <c:pt idx="48">
                  <c:v>9.1774395810826128</c:v>
                </c:pt>
                <c:pt idx="49">
                  <c:v>9.267471870616129</c:v>
                </c:pt>
                <c:pt idx="50">
                  <c:v>9.8522741990099565</c:v>
                </c:pt>
                <c:pt idx="51">
                  <c:v>9.7909188609574862</c:v>
                </c:pt>
                <c:pt idx="52">
                  <c:v>10.153567441185487</c:v>
                </c:pt>
                <c:pt idx="53">
                  <c:v>10.51621602141349</c:v>
                </c:pt>
                <c:pt idx="54">
                  <c:v>10.295914789493208</c:v>
                </c:pt>
                <c:pt idx="55">
                  <c:v>10.775271893190581</c:v>
                </c:pt>
                <c:pt idx="56">
                  <c:v>10.752448893045459</c:v>
                </c:pt>
                <c:pt idx="57">
                  <c:v>11.717980360223812</c:v>
                </c:pt>
                <c:pt idx="58">
                  <c:v>11.626095554444753</c:v>
                </c:pt>
                <c:pt idx="59">
                  <c:v>12.338351000532116</c:v>
                </c:pt>
                <c:pt idx="60">
                  <c:v>13.319295402873411</c:v>
                </c:pt>
                <c:pt idx="61">
                  <c:v>14.197980908460588</c:v>
                </c:pt>
                <c:pt idx="62">
                  <c:v>13.966712780366677</c:v>
                </c:pt>
                <c:pt idx="63">
                  <c:v>14.491197179805541</c:v>
                </c:pt>
                <c:pt idx="64">
                  <c:v>14.374859159585279</c:v>
                </c:pt>
                <c:pt idx="65">
                  <c:v>15.398337334924301</c:v>
                </c:pt>
                <c:pt idx="66">
                  <c:v>16.142678362384512</c:v>
                </c:pt>
                <c:pt idx="67">
                  <c:v>15.385962526404056</c:v>
                </c:pt>
                <c:pt idx="68">
                  <c:v>15.549650861860462</c:v>
                </c:pt>
                <c:pt idx="69">
                  <c:v>17.109395439960014</c:v>
                </c:pt>
                <c:pt idx="70">
                  <c:v>18.190523920860414</c:v>
                </c:pt>
                <c:pt idx="71">
                  <c:v>19.553605374332847</c:v>
                </c:pt>
                <c:pt idx="72">
                  <c:v>18.68433065127304</c:v>
                </c:pt>
                <c:pt idx="73">
                  <c:v>19.558347815921444</c:v>
                </c:pt>
                <c:pt idx="74">
                  <c:v>19.440231380105455</c:v>
                </c:pt>
                <c:pt idx="75">
                  <c:v>18.851427616621251</c:v>
                </c:pt>
                <c:pt idx="76">
                  <c:v>21.083190987954918</c:v>
                </c:pt>
                <c:pt idx="77">
                  <c:v>22.935114428301919</c:v>
                </c:pt>
                <c:pt idx="78">
                  <c:v>24.692040835577345</c:v>
                </c:pt>
                <c:pt idx="79">
                  <c:v>26.741442507699507</c:v>
                </c:pt>
                <c:pt idx="80">
                  <c:v>23.857519317283973</c:v>
                </c:pt>
                <c:pt idx="81">
                  <c:v>26.053714376703162</c:v>
                </c:pt>
                <c:pt idx="82">
                  <c:v>24.73783503716723</c:v>
                </c:pt>
                <c:pt idx="83">
                  <c:v>28.278660488253227</c:v>
                </c:pt>
                <c:pt idx="84">
                  <c:v>28.20359652998372</c:v>
                </c:pt>
                <c:pt idx="85">
                  <c:v>29.789128134221272</c:v>
                </c:pt>
                <c:pt idx="86">
                  <c:v>29.885236677040179</c:v>
                </c:pt>
                <c:pt idx="87">
                  <c:v>33.258520558879034</c:v>
                </c:pt>
                <c:pt idx="88">
                  <c:v>32.872604374606979</c:v>
                </c:pt>
                <c:pt idx="89">
                  <c:v>32.173242441588613</c:v>
                </c:pt>
                <c:pt idx="90">
                  <c:v>35.067391521679554</c:v>
                </c:pt>
                <c:pt idx="91">
                  <c:v>34.625381145492383</c:v>
                </c:pt>
                <c:pt idx="92">
                  <c:v>30.971700404727756</c:v>
                </c:pt>
                <c:pt idx="93">
                  <c:v>30.912864488769223</c:v>
                </c:pt>
                <c:pt idx="94">
                  <c:v>33.996859433703676</c:v>
                </c:pt>
                <c:pt idx="95">
                  <c:v>35.113926729767655</c:v>
                </c:pt>
                <c:pt idx="96">
                  <c:v>39.765002217134025</c:v>
                </c:pt>
                <c:pt idx="97">
                  <c:v>40.885848646338914</c:v>
                </c:pt>
                <c:pt idx="98">
                  <c:v>39.107136648015874</c:v>
                </c:pt>
                <c:pt idx="99">
                  <c:v>43.277669421287726</c:v>
                </c:pt>
                <c:pt idx="100">
                  <c:v>41.223821710176253</c:v>
                </c:pt>
                <c:pt idx="101">
                  <c:v>39.781230259444996</c:v>
                </c:pt>
                <c:pt idx="102">
                  <c:v>44.206817469403553</c:v>
                </c:pt>
                <c:pt idx="103">
                  <c:v>42.772969895351281</c:v>
                </c:pt>
                <c:pt idx="104">
                  <c:v>44.072843494525699</c:v>
                </c:pt>
                <c:pt idx="105">
                  <c:v>46.662957608397704</c:v>
                </c:pt>
                <c:pt idx="106">
                  <c:v>53.329126167018735</c:v>
                </c:pt>
                <c:pt idx="107">
                  <c:v>51.213626715255508</c:v>
                </c:pt>
                <c:pt idx="108">
                  <c:v>61.063529693471168</c:v>
                </c:pt>
                <c:pt idx="109">
                  <c:v>52.867775521228069</c:v>
                </c:pt>
                <c:pt idx="110">
                  <c:v>52.234511367850764</c:v>
                </c:pt>
                <c:pt idx="111">
                  <c:v>61.59201552800041</c:v>
                </c:pt>
                <c:pt idx="112">
                  <c:v>62.235135067804002</c:v>
                </c:pt>
                <c:pt idx="113">
                  <c:v>62.482779439508541</c:v>
                </c:pt>
                <c:pt idx="114">
                  <c:v>62.934052396923448</c:v>
                </c:pt>
                <c:pt idx="115">
                  <c:v>61.535032128287433</c:v>
                </c:pt>
                <c:pt idx="116">
                  <c:v>69.798440193817854</c:v>
                </c:pt>
                <c:pt idx="117">
                  <c:v>68.850841083896384</c:v>
                </c:pt>
                <c:pt idx="118">
                  <c:v>65.419462292597217</c:v>
                </c:pt>
                <c:pt idx="119">
                  <c:v>59.153511343663858</c:v>
                </c:pt>
                <c:pt idx="120">
                  <c:v>57.404069102020443</c:v>
                </c:pt>
                <c:pt idx="121">
                  <c:v>55.08390365544934</c:v>
                </c:pt>
                <c:pt idx="122">
                  <c:v>55.68263690600967</c:v>
                </c:pt>
                <c:pt idx="123">
                  <c:v>50.304263540642111</c:v>
                </c:pt>
                <c:pt idx="124">
                  <c:v>58.319804932518537</c:v>
                </c:pt>
                <c:pt idx="125">
                  <c:v>58.88460008546047</c:v>
                </c:pt>
                <c:pt idx="126">
                  <c:v>58.764482932099298</c:v>
                </c:pt>
                <c:pt idx="127">
                  <c:v>52.447698937388161</c:v>
                </c:pt>
                <c:pt idx="128">
                  <c:v>49.409349992743948</c:v>
                </c:pt>
                <c:pt idx="129">
                  <c:v>45.054084299466297</c:v>
                </c:pt>
                <c:pt idx="130">
                  <c:v>44.097296708966915</c:v>
                </c:pt>
                <c:pt idx="131">
                  <c:v>46.628574906880395</c:v>
                </c:pt>
                <c:pt idx="132">
                  <c:v>48.755485858716177</c:v>
                </c:pt>
                <c:pt idx="133">
                  <c:v>45.191318702936314</c:v>
                </c:pt>
                <c:pt idx="134">
                  <c:v>47.051022711514598</c:v>
                </c:pt>
                <c:pt idx="135">
                  <c:v>45.767821758550085</c:v>
                </c:pt>
                <c:pt idx="136">
                  <c:v>38.557383926987775</c:v>
                </c:pt>
                <c:pt idx="137">
                  <c:v>38.056389433542428</c:v>
                </c:pt>
                <c:pt idx="138">
                  <c:v>35.71873623361337</c:v>
                </c:pt>
                <c:pt idx="139">
                  <c:v>39.591903099150237</c:v>
                </c:pt>
                <c:pt idx="140">
                  <c:v>37.071295394811102</c:v>
                </c:pt>
                <c:pt idx="141">
                  <c:v>30.510794362835998</c:v>
                </c:pt>
                <c:pt idx="142">
                  <c:v>31.253431075350314</c:v>
                </c:pt>
                <c:pt idx="143">
                  <c:v>33.543215255494474</c:v>
                </c:pt>
                <c:pt idx="144">
                  <c:v>30.371262839221512</c:v>
                </c:pt>
                <c:pt idx="145">
                  <c:v>28.862054904300443</c:v>
                </c:pt>
                <c:pt idx="146">
                  <c:v>30.240993896834748</c:v>
                </c:pt>
                <c:pt idx="147">
                  <c:v>32.0642403857007</c:v>
                </c:pt>
                <c:pt idx="148">
                  <c:v>37.03105874195785</c:v>
                </c:pt>
                <c:pt idx="149">
                  <c:v>36.087979771675514</c:v>
                </c:pt>
                <c:pt idx="150">
                  <c:v>36.297906912620739</c:v>
                </c:pt>
                <c:pt idx="151">
                  <c:v>35.994094248351267</c:v>
                </c:pt>
                <c:pt idx="152">
                  <c:v>37.424236789912449</c:v>
                </c:pt>
                <c:pt idx="153">
                  <c:v>37.963985923214615</c:v>
                </c:pt>
                <c:pt idx="154">
                  <c:v>36.945176088814371</c:v>
                </c:pt>
                <c:pt idx="155">
                  <c:v>36.512205991905454</c:v>
                </c:pt>
                <c:pt idx="156">
                  <c:v>39.709945434316403</c:v>
                </c:pt>
                <c:pt idx="157">
                  <c:v>43.106719222148769</c:v>
                </c:pt>
                <c:pt idx="158">
                  <c:v>41.9391152829063</c:v>
                </c:pt>
                <c:pt idx="159">
                  <c:v>39.359819863908285</c:v>
                </c:pt>
                <c:pt idx="160">
                  <c:v>38.6247414176758</c:v>
                </c:pt>
                <c:pt idx="161">
                  <c:v>40.133578849347757</c:v>
                </c:pt>
                <c:pt idx="162">
                  <c:v>42.035520228324494</c:v>
                </c:pt>
                <c:pt idx="163">
                  <c:v>43.138360199622682</c:v>
                </c:pt>
                <c:pt idx="164">
                  <c:v>42.54155356595772</c:v>
                </c:pt>
                <c:pt idx="165">
                  <c:v>43.827199840366355</c:v>
                </c:pt>
                <c:pt idx="166">
                  <c:v>44.531971120821709</c:v>
                </c:pt>
                <c:pt idx="167">
                  <c:v>46.150329312930324</c:v>
                </c:pt>
                <c:pt idx="168">
                  <c:v>47.922742756018508</c:v>
                </c:pt>
                <c:pt idx="169">
                  <c:v>47.436938895786632</c:v>
                </c:pt>
                <c:pt idx="170">
                  <c:v>46.501862795685049</c:v>
                </c:pt>
                <c:pt idx="171">
                  <c:v>47.638048059403054</c:v>
                </c:pt>
                <c:pt idx="172">
                  <c:v>47.823003281358318</c:v>
                </c:pt>
                <c:pt idx="173">
                  <c:v>48.19283962461904</c:v>
                </c:pt>
                <c:pt idx="174">
                  <c:v>46.065854572133432</c:v>
                </c:pt>
                <c:pt idx="175">
                  <c:v>45.866449723462907</c:v>
                </c:pt>
                <c:pt idx="176">
                  <c:v>44.683210547108033</c:v>
                </c:pt>
                <c:pt idx="177">
                  <c:v>45.058752640405032</c:v>
                </c:pt>
                <c:pt idx="178">
                  <c:v>45.379904856732814</c:v>
                </c:pt>
                <c:pt idx="179">
                  <c:v>47.802106898108569</c:v>
                </c:pt>
                <c:pt idx="180">
                  <c:v>47.236570738668412</c:v>
                </c:pt>
                <c:pt idx="181">
                  <c:v>44.136866455971742</c:v>
                </c:pt>
                <c:pt idx="182">
                  <c:v>44.631562394182232</c:v>
                </c:pt>
                <c:pt idx="183">
                  <c:v>47.22501103729622</c:v>
                </c:pt>
                <c:pt idx="184">
                  <c:v>46.966992574616633</c:v>
                </c:pt>
                <c:pt idx="185">
                  <c:v>46.51890594514407</c:v>
                </c:pt>
                <c:pt idx="186">
                  <c:v>45.090393617878966</c:v>
                </c:pt>
                <c:pt idx="187">
                  <c:v>44.721001878517171</c:v>
                </c:pt>
                <c:pt idx="188">
                  <c:v>46.595229614460543</c:v>
                </c:pt>
                <c:pt idx="189">
                  <c:v>48.642111864488754</c:v>
                </c:pt>
                <c:pt idx="190">
                  <c:v>48.380314268668258</c:v>
                </c:pt>
                <c:pt idx="191">
                  <c:v>48.614546422755041</c:v>
                </c:pt>
                <c:pt idx="192">
                  <c:v>51.65415507844623</c:v>
                </c:pt>
                <c:pt idx="193">
                  <c:v>50.043873857168194</c:v>
                </c:pt>
                <c:pt idx="194">
                  <c:v>48.844628940451805</c:v>
                </c:pt>
                <c:pt idx="195">
                  <c:v>49.474262161987838</c:v>
                </c:pt>
                <c:pt idx="196">
                  <c:v>51.573014866891334</c:v>
                </c:pt>
                <c:pt idx="197">
                  <c:v>52.580339100569198</c:v>
                </c:pt>
                <c:pt idx="198">
                  <c:v>53.946310479384678</c:v>
                </c:pt>
                <c:pt idx="199">
                  <c:v>54.622775311608095</c:v>
                </c:pt>
                <c:pt idx="200">
                  <c:v>54.77779387103535</c:v>
                </c:pt>
                <c:pt idx="201">
                  <c:v>58.739288711159837</c:v>
                </c:pt>
                <c:pt idx="202">
                  <c:v>58.398796225228566</c:v>
                </c:pt>
                <c:pt idx="203">
                  <c:v>54.32674321556992</c:v>
                </c:pt>
                <c:pt idx="204">
                  <c:v>53.042282551558444</c:v>
                </c:pt>
                <c:pt idx="205">
                  <c:v>50.595479094441842</c:v>
                </c:pt>
                <c:pt idx="206">
                  <c:v>47.85531116468065</c:v>
                </c:pt>
                <c:pt idx="207">
                  <c:v>53.443685771643267</c:v>
                </c:pt>
                <c:pt idx="208">
                  <c:v>47.219898092458521</c:v>
                </c:pt>
                <c:pt idx="209">
                  <c:v>44.360724519083483</c:v>
                </c:pt>
                <c:pt idx="210">
                  <c:v>38.969309439347285</c:v>
                </c:pt>
                <c:pt idx="211">
                  <c:v>41.305480626279902</c:v>
                </c:pt>
                <c:pt idx="212">
                  <c:v>41.028047793347</c:v>
                </c:pt>
                <c:pt idx="213">
                  <c:v>37.697445885805514</c:v>
                </c:pt>
                <c:pt idx="214">
                  <c:v>28.842270030798016</c:v>
                </c:pt>
                <c:pt idx="215">
                  <c:v>25.382955294516027</c:v>
                </c:pt>
                <c:pt idx="216">
                  <c:v>24.409791460406026</c:v>
                </c:pt>
                <c:pt idx="217">
                  <c:v>18.27722168115195</c:v>
                </c:pt>
                <c:pt idx="218">
                  <c:v>13.217851613267335</c:v>
                </c:pt>
                <c:pt idx="219">
                  <c:v>15.702965106341814</c:v>
                </c:pt>
                <c:pt idx="220">
                  <c:v>19.648083702855676</c:v>
                </c:pt>
                <c:pt idx="221">
                  <c:v>20.937286808455752</c:v>
                </c:pt>
                <c:pt idx="222">
                  <c:v>18.355694269313258</c:v>
                </c:pt>
                <c:pt idx="223">
                  <c:v>20.986860143186551</c:v>
                </c:pt>
                <c:pt idx="224">
                  <c:v>21.769955810503575</c:v>
                </c:pt>
                <c:pt idx="225">
                  <c:v>25.871130375542194</c:v>
                </c:pt>
                <c:pt idx="226">
                  <c:v>22.467835730525504</c:v>
                </c:pt>
                <c:pt idx="227">
                  <c:v>25.240904348807589</c:v>
                </c:pt>
                <c:pt idx="228">
                  <c:v>23.993345808407376</c:v>
                </c:pt>
                <c:pt idx="229">
                  <c:v>25.499812019285038</c:v>
                </c:pt>
                <c:pt idx="230">
                  <c:v>25.628080244126618</c:v>
                </c:pt>
                <c:pt idx="231">
                  <c:v>29.043082791815152</c:v>
                </c:pt>
                <c:pt idx="232">
                  <c:v>30.096275327732727</c:v>
                </c:pt>
                <c:pt idx="233">
                  <c:v>26.090838802263903</c:v>
                </c:pt>
                <c:pt idx="234">
                  <c:v>23.15571206282149</c:v>
                </c:pt>
                <c:pt idx="235">
                  <c:v>25.88550590160763</c:v>
                </c:pt>
                <c:pt idx="236">
                  <c:v>23.25204290758986</c:v>
                </c:pt>
                <c:pt idx="237">
                  <c:v>26.287205524291732</c:v>
                </c:pt>
                <c:pt idx="238">
                  <c:v>25.915146161536356</c:v>
                </c:pt>
                <c:pt idx="239">
                  <c:v>25.607776666075434</c:v>
                </c:pt>
                <c:pt idx="240">
                  <c:v>29.81661947530516</c:v>
                </c:pt>
                <c:pt idx="241">
                  <c:v>32.832515923053357</c:v>
                </c:pt>
                <c:pt idx="242">
                  <c:v>34.336092208587971</c:v>
                </c:pt>
                <c:pt idx="243">
                  <c:v>32.908172686521439</c:v>
                </c:pt>
                <c:pt idx="244">
                  <c:v>33.564704443942787</c:v>
                </c:pt>
                <c:pt idx="245">
                  <c:v>32.235264685489462</c:v>
                </c:pt>
                <c:pt idx="246">
                  <c:v>31.206821766612379</c:v>
                </c:pt>
                <c:pt idx="247">
                  <c:v>29.634850581292227</c:v>
                </c:pt>
                <c:pt idx="248">
                  <c:v>26.987456665107956</c:v>
                </c:pt>
                <c:pt idx="249">
                  <c:v>25.418820009029783</c:v>
                </c:pt>
                <c:pt idx="250">
                  <c:v>27.907193930696423</c:v>
                </c:pt>
                <c:pt idx="251">
                  <c:v>26.571159214408954</c:v>
                </c:pt>
                <c:pt idx="252">
                  <c:v>30.193050776400018</c:v>
                </c:pt>
                <c:pt idx="253">
                  <c:v>31.541682603157199</c:v>
                </c:pt>
                <c:pt idx="254">
                  <c:v>32.397619209249072</c:v>
                </c:pt>
                <c:pt idx="255">
                  <c:v>34.13231542157795</c:v>
                </c:pt>
                <c:pt idx="256">
                  <c:v>33.298979513681729</c:v>
                </c:pt>
                <c:pt idx="257">
                  <c:v>32.465643605785509</c:v>
                </c:pt>
                <c:pt idx="258">
                  <c:v>35.750303110437457</c:v>
                </c:pt>
                <c:pt idx="259">
                  <c:v>35.595951456858593</c:v>
                </c:pt>
                <c:pt idx="260">
                  <c:v>35.527260154473765</c:v>
                </c:pt>
                <c:pt idx="261">
                  <c:v>39.253485431413957</c:v>
                </c:pt>
                <c:pt idx="262">
                  <c:v>36.401499621071629</c:v>
                </c:pt>
                <c:pt idx="263">
                  <c:v>36.522505982230676</c:v>
                </c:pt>
                <c:pt idx="264">
                  <c:v>36.607944031475235</c:v>
                </c:pt>
                <c:pt idx="265">
                  <c:v>38.857862062015251</c:v>
                </c:pt>
                <c:pt idx="266">
                  <c:v>40.828050139477881</c:v>
                </c:pt>
                <c:pt idx="267">
                  <c:v>40.652283398100515</c:v>
                </c:pt>
                <c:pt idx="268">
                  <c:v>39.192871099859715</c:v>
                </c:pt>
                <c:pt idx="269">
                  <c:v>41.003890981505066</c:v>
                </c:pt>
                <c:pt idx="270">
                  <c:v>41.108521099053476</c:v>
                </c:pt>
                <c:pt idx="271">
                  <c:v>43.200308342873718</c:v>
                </c:pt>
                <c:pt idx="272">
                  <c:v>41.019896721866573</c:v>
                </c:pt>
                <c:pt idx="273">
                  <c:v>42.678417466178622</c:v>
                </c:pt>
                <c:pt idx="274">
                  <c:v>46.697933115113585</c:v>
                </c:pt>
                <c:pt idx="275">
                  <c:v>47.626858861279963</c:v>
                </c:pt>
                <c:pt idx="276">
                  <c:v>50.477584960575314</c:v>
                </c:pt>
                <c:pt idx="277">
                  <c:v>45.255119362432872</c:v>
                </c:pt>
                <c:pt idx="278">
                  <c:v>46.2691126545947</c:v>
                </c:pt>
                <c:pt idx="279">
                  <c:v>47.032052945160189</c:v>
                </c:pt>
                <c:pt idx="280">
                  <c:v>48.848704476192005</c:v>
                </c:pt>
                <c:pt idx="281">
                  <c:v>48.667009682828891</c:v>
                </c:pt>
                <c:pt idx="282">
                  <c:v>48.130595078768721</c:v>
                </c:pt>
                <c:pt idx="283">
                  <c:v>46.061038029895023</c:v>
                </c:pt>
                <c:pt idx="284">
                  <c:v>47.581138760339897</c:v>
                </c:pt>
                <c:pt idx="285">
                  <c:v>47.315636132028303</c:v>
                </c:pt>
                <c:pt idx="286">
                  <c:v>47.666576809584456</c:v>
                </c:pt>
                <c:pt idx="287">
                  <c:v>48.922434622764712</c:v>
                </c:pt>
                <c:pt idx="288">
                  <c:v>47.096224107905883</c:v>
                </c:pt>
                <c:pt idx="289">
                  <c:v>44.524338753890049</c:v>
                </c:pt>
                <c:pt idx="290">
                  <c:v>48.883605882258074</c:v>
                </c:pt>
                <c:pt idx="291">
                  <c:v>46.664143218794827</c:v>
                </c:pt>
                <c:pt idx="292">
                  <c:v>50.933748560878449</c:v>
                </c:pt>
                <c:pt idx="293">
                  <c:v>51.291061894319284</c:v>
                </c:pt>
                <c:pt idx="294">
                  <c:v>50.394444031475231</c:v>
                </c:pt>
                <c:pt idx="295">
                  <c:v>49.503013214118702</c:v>
                </c:pt>
                <c:pt idx="296">
                  <c:v>47.075253624006315</c:v>
                </c:pt>
                <c:pt idx="297">
                  <c:v>48.267903582888557</c:v>
                </c:pt>
                <c:pt idx="298">
                  <c:v>55.349258082461262</c:v>
                </c:pt>
                <c:pt idx="299">
                  <c:v>57.301439702017184</c:v>
                </c:pt>
                <c:pt idx="300">
                  <c:v>60.065986745569759</c:v>
                </c:pt>
                <c:pt idx="301">
                  <c:v>56.113087580824612</c:v>
                </c:pt>
                <c:pt idx="302">
                  <c:v>56.632310834126123</c:v>
                </c:pt>
                <c:pt idx="303">
                  <c:v>61.782454198042466</c:v>
                </c:pt>
                <c:pt idx="304">
                  <c:v>59.761284873502426</c:v>
                </c:pt>
                <c:pt idx="305">
                  <c:v>58.750700211232399</c:v>
                </c:pt>
                <c:pt idx="306">
                  <c:v>61.639291742586707</c:v>
                </c:pt>
                <c:pt idx="307">
                  <c:v>60.973497403937621</c:v>
                </c:pt>
                <c:pt idx="308">
                  <c:v>61.169345421416701</c:v>
                </c:pt>
                <c:pt idx="309">
                  <c:v>58.445701936565776</c:v>
                </c:pt>
                <c:pt idx="310">
                  <c:v>57.419630238482988</c:v>
                </c:pt>
                <c:pt idx="311">
                  <c:v>60.695101262557024</c:v>
                </c:pt>
                <c:pt idx="312">
                  <c:v>62.822901422190668</c:v>
                </c:pt>
                <c:pt idx="313">
                  <c:v>59.045546696873423</c:v>
                </c:pt>
                <c:pt idx="314">
                  <c:v>59.738017269458354</c:v>
                </c:pt>
                <c:pt idx="315">
                  <c:v>59.718010094006459</c:v>
                </c:pt>
                <c:pt idx="316">
                  <c:v>58.094761259009601</c:v>
                </c:pt>
                <c:pt idx="317">
                  <c:v>54.868418965767432</c:v>
                </c:pt>
                <c:pt idx="318">
                  <c:v>54.575795499621059</c:v>
                </c:pt>
                <c:pt idx="319">
                  <c:v>51.74700319267297</c:v>
                </c:pt>
                <c:pt idx="320">
                  <c:v>49.605198010222999</c:v>
                </c:pt>
                <c:pt idx="321">
                  <c:v>49.347624151442339</c:v>
                </c:pt>
                <c:pt idx="322">
                  <c:v>41.14342250511956</c:v>
                </c:pt>
                <c:pt idx="323">
                  <c:v>37.327016737346206</c:v>
                </c:pt>
                <c:pt idx="324">
                  <c:v>35.857897253978742</c:v>
                </c:pt>
                <c:pt idx="325">
                  <c:v>33.22762058790331</c:v>
                </c:pt>
                <c:pt idx="326">
                  <c:v>29.234707072254377</c:v>
                </c:pt>
                <c:pt idx="327">
                  <c:v>27.929350024993145</c:v>
                </c:pt>
                <c:pt idx="328">
                  <c:v>29.151788445103755</c:v>
                </c:pt>
                <c:pt idx="329">
                  <c:v>29.172536627053866</c:v>
                </c:pt>
                <c:pt idx="330">
                  <c:v>28.453167518583609</c:v>
                </c:pt>
                <c:pt idx="331">
                  <c:v>28.494960285083117</c:v>
                </c:pt>
                <c:pt idx="332">
                  <c:v>27.052442935001686</c:v>
                </c:pt>
                <c:pt idx="333">
                  <c:v>23.826322943708977</c:v>
                </c:pt>
                <c:pt idx="334">
                  <c:v>21.314977820597569</c:v>
                </c:pt>
                <c:pt idx="335">
                  <c:v>15.8278988019414</c:v>
                </c:pt>
                <c:pt idx="336">
                  <c:v>15.996551880935872</c:v>
                </c:pt>
                <c:pt idx="337">
                  <c:v>21.469551776125897</c:v>
                </c:pt>
                <c:pt idx="338">
                  <c:v>22.840636099779093</c:v>
                </c:pt>
                <c:pt idx="339">
                  <c:v>21.984254889788282</c:v>
                </c:pt>
                <c:pt idx="340">
                  <c:v>22.380396963735752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GEmonth!$B$3</c:f>
              <c:strCache>
                <c:ptCount val="1"/>
                <c:pt idx="0">
                  <c:v>Share price</c:v>
                </c:pt>
              </c:strCache>
            </c:strRef>
          </c:tx>
          <c:spPr>
            <a:ln w="15875">
              <a:solidFill>
                <a:srgbClr val="0033CC"/>
              </a:solidFill>
            </a:ln>
          </c:spPr>
          <c:marker>
            <c:symbol val="none"/>
          </c:marker>
          <c:xVal>
            <c:numRef>
              <c:f>GEmonth!$A$4:$A$344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 formatCode="0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 formatCode="0.00">
                  <c:v>42123</c:v>
                </c:pt>
              </c:numCache>
            </c:numRef>
          </c:xVal>
          <c:yVal>
            <c:numRef>
              <c:f>GEmonth!$B$4:$B$344</c:f>
              <c:numCache>
                <c:formatCode>0.00</c:formatCode>
                <c:ptCount val="341"/>
                <c:pt idx="0">
                  <c:v>4.5955000000000004</c:v>
                </c:pt>
                <c:pt idx="1">
                  <c:v>5.1261999999999999</c:v>
                </c:pt>
                <c:pt idx="2">
                  <c:v>5.4465000000000003</c:v>
                </c:pt>
                <c:pt idx="3">
                  <c:v>5.5766999999999998</c:v>
                </c:pt>
                <c:pt idx="4">
                  <c:v>5.6668000000000003</c:v>
                </c:pt>
                <c:pt idx="5">
                  <c:v>6.1874000000000002</c:v>
                </c:pt>
                <c:pt idx="6">
                  <c:v>5.9271000000000003</c:v>
                </c:pt>
                <c:pt idx="7">
                  <c:v>5.867</c:v>
                </c:pt>
                <c:pt idx="8">
                  <c:v>5.9972000000000003</c:v>
                </c:pt>
                <c:pt idx="9">
                  <c:v>5.5567000000000002</c:v>
                </c:pt>
                <c:pt idx="10">
                  <c:v>5.5266000000000002</c:v>
                </c:pt>
                <c:pt idx="11">
                  <c:v>5.1862000000000004</c:v>
                </c:pt>
                <c:pt idx="12">
                  <c:v>6.1273999999999997</c:v>
                </c:pt>
                <c:pt idx="13">
                  <c:v>6.0271999999999997</c:v>
                </c:pt>
                <c:pt idx="14">
                  <c:v>6.2976000000000001</c:v>
                </c:pt>
                <c:pt idx="15">
                  <c:v>6.0673000000000004</c:v>
                </c:pt>
                <c:pt idx="16">
                  <c:v>6.1374000000000004</c:v>
                </c:pt>
                <c:pt idx="17">
                  <c:v>6.1173000000000002</c:v>
                </c:pt>
                <c:pt idx="18">
                  <c:v>6.2275</c:v>
                </c:pt>
                <c:pt idx="19">
                  <c:v>6.1273999999999997</c:v>
                </c:pt>
                <c:pt idx="20">
                  <c:v>5.9271000000000003</c:v>
                </c:pt>
                <c:pt idx="21">
                  <c:v>6.2675000000000001</c:v>
                </c:pt>
                <c:pt idx="22">
                  <c:v>6.1474000000000002</c:v>
                </c:pt>
                <c:pt idx="23">
                  <c:v>6.6680000000000001</c:v>
                </c:pt>
                <c:pt idx="24">
                  <c:v>6.8482000000000003</c:v>
                </c:pt>
                <c:pt idx="25">
                  <c:v>6.8982999999999999</c:v>
                </c:pt>
                <c:pt idx="26">
                  <c:v>6.7381000000000002</c:v>
                </c:pt>
                <c:pt idx="27">
                  <c:v>7.1386000000000003</c:v>
                </c:pt>
                <c:pt idx="28">
                  <c:v>7.2587000000000002</c:v>
                </c:pt>
                <c:pt idx="29">
                  <c:v>7.4288999999999996</c:v>
                </c:pt>
                <c:pt idx="30">
                  <c:v>7.6692</c:v>
                </c:pt>
                <c:pt idx="31">
                  <c:v>7.8895</c:v>
                </c:pt>
                <c:pt idx="32">
                  <c:v>7.8693999999999997</c:v>
                </c:pt>
                <c:pt idx="33">
                  <c:v>7.6791999999999998</c:v>
                </c:pt>
                <c:pt idx="34">
                  <c:v>7.7693000000000003</c:v>
                </c:pt>
                <c:pt idx="35">
                  <c:v>7.8795000000000002</c:v>
                </c:pt>
                <c:pt idx="36">
                  <c:v>8.4001000000000001</c:v>
                </c:pt>
                <c:pt idx="37">
                  <c:v>8.6303999999999998</c:v>
                </c:pt>
                <c:pt idx="38">
                  <c:v>8.4400999999999993</c:v>
                </c:pt>
                <c:pt idx="39">
                  <c:v>8.0096000000000007</c:v>
                </c:pt>
                <c:pt idx="40">
                  <c:v>7.6292</c:v>
                </c:pt>
                <c:pt idx="41">
                  <c:v>7.9695999999999998</c:v>
                </c:pt>
                <c:pt idx="42">
                  <c:v>7.4690000000000003</c:v>
                </c:pt>
                <c:pt idx="43">
                  <c:v>8.0696999999999992</c:v>
                </c:pt>
                <c:pt idx="44">
                  <c:v>7.9695999999999998</c:v>
                </c:pt>
                <c:pt idx="45">
                  <c:v>7.7092999999999998</c:v>
                </c:pt>
                <c:pt idx="46">
                  <c:v>7.8293999999999997</c:v>
                </c:pt>
                <c:pt idx="47">
                  <c:v>7.3688000000000002</c:v>
                </c:pt>
                <c:pt idx="48">
                  <c:v>8.1698000000000004</c:v>
                </c:pt>
                <c:pt idx="49">
                  <c:v>8.2499000000000002</c:v>
                </c:pt>
                <c:pt idx="50">
                  <c:v>8.7705000000000002</c:v>
                </c:pt>
                <c:pt idx="51">
                  <c:v>8.6503999999999994</c:v>
                </c:pt>
                <c:pt idx="52">
                  <c:v>8.9708000000000006</c:v>
                </c:pt>
                <c:pt idx="53">
                  <c:v>9.2911999999999999</c:v>
                </c:pt>
                <c:pt idx="54">
                  <c:v>9.0307999999999993</c:v>
                </c:pt>
                <c:pt idx="55">
                  <c:v>9.4512999999999998</c:v>
                </c:pt>
                <c:pt idx="56">
                  <c:v>9.4313000000000002</c:v>
                </c:pt>
                <c:pt idx="57">
                  <c:v>10.212300000000001</c:v>
                </c:pt>
                <c:pt idx="58">
                  <c:v>10.132199999999999</c:v>
                </c:pt>
                <c:pt idx="59">
                  <c:v>10.7529</c:v>
                </c:pt>
                <c:pt idx="60">
                  <c:v>11.533799999999999</c:v>
                </c:pt>
                <c:pt idx="61">
                  <c:v>12.2948</c:v>
                </c:pt>
                <c:pt idx="62">
                  <c:v>12.0945</c:v>
                </c:pt>
                <c:pt idx="63">
                  <c:v>12.475</c:v>
                </c:pt>
                <c:pt idx="64">
                  <c:v>12.3749</c:v>
                </c:pt>
                <c:pt idx="65">
                  <c:v>13.2559</c:v>
                </c:pt>
                <c:pt idx="66">
                  <c:v>13.896699999999999</c:v>
                </c:pt>
                <c:pt idx="67">
                  <c:v>13.175800000000001</c:v>
                </c:pt>
                <c:pt idx="68">
                  <c:v>13.316000000000001</c:v>
                </c:pt>
                <c:pt idx="69">
                  <c:v>14.577500000000001</c:v>
                </c:pt>
                <c:pt idx="70">
                  <c:v>15.4986</c:v>
                </c:pt>
                <c:pt idx="71">
                  <c:v>16.66</c:v>
                </c:pt>
                <c:pt idx="72">
                  <c:v>15.839</c:v>
                </c:pt>
                <c:pt idx="73">
                  <c:v>16.579899999999999</c:v>
                </c:pt>
                <c:pt idx="74">
                  <c:v>16.479800000000001</c:v>
                </c:pt>
                <c:pt idx="75">
                  <c:v>15.899100000000001</c:v>
                </c:pt>
                <c:pt idx="76">
                  <c:v>17.781300000000002</c:v>
                </c:pt>
                <c:pt idx="77">
                  <c:v>19.3432</c:v>
                </c:pt>
                <c:pt idx="78">
                  <c:v>20.824999999999999</c:v>
                </c:pt>
                <c:pt idx="79">
                  <c:v>22.466999999999999</c:v>
                </c:pt>
                <c:pt idx="80">
                  <c:v>20.0441</c:v>
                </c:pt>
                <c:pt idx="81">
                  <c:v>21.8062</c:v>
                </c:pt>
                <c:pt idx="82">
                  <c:v>20.704799999999999</c:v>
                </c:pt>
                <c:pt idx="83">
                  <c:v>23.668399999999998</c:v>
                </c:pt>
                <c:pt idx="84">
                  <c:v>23.508199999999999</c:v>
                </c:pt>
                <c:pt idx="85">
                  <c:v>24.829799999999999</c:v>
                </c:pt>
                <c:pt idx="86">
                  <c:v>24.9099</c:v>
                </c:pt>
                <c:pt idx="87">
                  <c:v>27.613099999999999</c:v>
                </c:pt>
                <c:pt idx="88">
                  <c:v>27.2928</c:v>
                </c:pt>
                <c:pt idx="89">
                  <c:v>26.7121</c:v>
                </c:pt>
                <c:pt idx="90">
                  <c:v>29.114899999999999</c:v>
                </c:pt>
                <c:pt idx="91">
                  <c:v>28.654399999999999</c:v>
                </c:pt>
                <c:pt idx="92">
                  <c:v>25.630800000000001</c:v>
                </c:pt>
                <c:pt idx="93">
                  <c:v>25.490600000000001</c:v>
                </c:pt>
                <c:pt idx="94">
                  <c:v>28.0336</c:v>
                </c:pt>
                <c:pt idx="95">
                  <c:v>28.954799999999999</c:v>
                </c:pt>
                <c:pt idx="96">
                  <c:v>32.679200000000002</c:v>
                </c:pt>
                <c:pt idx="97">
                  <c:v>33.600299999999997</c:v>
                </c:pt>
                <c:pt idx="98">
                  <c:v>32.138599999999997</c:v>
                </c:pt>
                <c:pt idx="99">
                  <c:v>35.442599999999999</c:v>
                </c:pt>
                <c:pt idx="100">
                  <c:v>33.7605</c:v>
                </c:pt>
                <c:pt idx="101">
                  <c:v>32.579099999999997</c:v>
                </c:pt>
                <c:pt idx="102">
                  <c:v>36.203499999999998</c:v>
                </c:pt>
                <c:pt idx="103">
                  <c:v>34.921900000000001</c:v>
                </c:pt>
                <c:pt idx="104">
                  <c:v>35.983199999999997</c:v>
                </c:pt>
                <c:pt idx="105">
                  <c:v>37.985599999999998</c:v>
                </c:pt>
                <c:pt idx="106">
                  <c:v>43.412100000000002</c:v>
                </c:pt>
                <c:pt idx="107">
                  <c:v>41.69</c:v>
                </c:pt>
                <c:pt idx="108">
                  <c:v>49.579500000000003</c:v>
                </c:pt>
                <c:pt idx="109">
                  <c:v>42.9251</c:v>
                </c:pt>
                <c:pt idx="110">
                  <c:v>42.410899999999998</c:v>
                </c:pt>
                <c:pt idx="111">
                  <c:v>49.859900000000003</c:v>
                </c:pt>
                <c:pt idx="112">
                  <c:v>50.380499999999998</c:v>
                </c:pt>
                <c:pt idx="113">
                  <c:v>50.581000000000003</c:v>
                </c:pt>
                <c:pt idx="114">
                  <c:v>50.946199999999997</c:v>
                </c:pt>
                <c:pt idx="115">
                  <c:v>49.677399999999999</c:v>
                </c:pt>
                <c:pt idx="116">
                  <c:v>56.348500000000001</c:v>
                </c:pt>
                <c:pt idx="117">
                  <c:v>55.452100000000002</c:v>
                </c:pt>
                <c:pt idx="118">
                  <c:v>52.688499999999998</c:v>
                </c:pt>
                <c:pt idx="119">
                  <c:v>47.642000000000003</c:v>
                </c:pt>
                <c:pt idx="120">
                  <c:v>46.079900000000002</c:v>
                </c:pt>
                <c:pt idx="121">
                  <c:v>44.217500000000001</c:v>
                </c:pt>
                <c:pt idx="122">
                  <c:v>44.698099999999997</c:v>
                </c:pt>
                <c:pt idx="123">
                  <c:v>40.237900000000003</c:v>
                </c:pt>
                <c:pt idx="124">
                  <c:v>46.649500000000003</c:v>
                </c:pt>
                <c:pt idx="125">
                  <c:v>47.101199999999999</c:v>
                </c:pt>
                <c:pt idx="126">
                  <c:v>47.005099999999999</c:v>
                </c:pt>
                <c:pt idx="127">
                  <c:v>41.814399999999999</c:v>
                </c:pt>
                <c:pt idx="128">
                  <c:v>39.392000000000003</c:v>
                </c:pt>
                <c:pt idx="129">
                  <c:v>35.758499999999998</c:v>
                </c:pt>
                <c:pt idx="130">
                  <c:v>34.999099999999999</c:v>
                </c:pt>
                <c:pt idx="131">
                  <c:v>37.008099999999999</c:v>
                </c:pt>
                <c:pt idx="132">
                  <c:v>38.526899999999998</c:v>
                </c:pt>
                <c:pt idx="133">
                  <c:v>35.7104</c:v>
                </c:pt>
                <c:pt idx="134">
                  <c:v>37.008099999999999</c:v>
                </c:pt>
                <c:pt idx="135">
                  <c:v>35.998800000000003</c:v>
                </c:pt>
                <c:pt idx="136">
                  <c:v>30.327400000000001</c:v>
                </c:pt>
                <c:pt idx="137">
                  <c:v>29.933299999999999</c:v>
                </c:pt>
                <c:pt idx="138">
                  <c:v>27.924299999999999</c:v>
                </c:pt>
                <c:pt idx="139">
                  <c:v>30.952200000000001</c:v>
                </c:pt>
                <c:pt idx="140">
                  <c:v>28.9817</c:v>
                </c:pt>
                <c:pt idx="141">
                  <c:v>23.694800000000001</c:v>
                </c:pt>
                <c:pt idx="142">
                  <c:v>24.271599999999999</c:v>
                </c:pt>
                <c:pt idx="143">
                  <c:v>26.049900000000001</c:v>
                </c:pt>
                <c:pt idx="144">
                  <c:v>23.406400000000001</c:v>
                </c:pt>
                <c:pt idx="145">
                  <c:v>22.243300000000001</c:v>
                </c:pt>
                <c:pt idx="146">
                  <c:v>23.117999999999999</c:v>
                </c:pt>
                <c:pt idx="147">
                  <c:v>24.511900000000001</c:v>
                </c:pt>
                <c:pt idx="148">
                  <c:v>28.308800000000002</c:v>
                </c:pt>
                <c:pt idx="149">
                  <c:v>27.587900000000001</c:v>
                </c:pt>
                <c:pt idx="150">
                  <c:v>27.5686</c:v>
                </c:pt>
                <c:pt idx="151">
                  <c:v>27.337900000000001</c:v>
                </c:pt>
                <c:pt idx="152">
                  <c:v>28.424099999999999</c:v>
                </c:pt>
                <c:pt idx="153">
                  <c:v>28.654900000000001</c:v>
                </c:pt>
                <c:pt idx="154">
                  <c:v>27.8858</c:v>
                </c:pt>
                <c:pt idx="155">
                  <c:v>27.559000000000001</c:v>
                </c:pt>
                <c:pt idx="156">
                  <c:v>29.779499999999999</c:v>
                </c:pt>
                <c:pt idx="157">
                  <c:v>32.326799999999999</c:v>
                </c:pt>
                <c:pt idx="158">
                  <c:v>31.259799999999998</c:v>
                </c:pt>
                <c:pt idx="159">
                  <c:v>29.337299999999999</c:v>
                </c:pt>
                <c:pt idx="160">
                  <c:v>28.789400000000001</c:v>
                </c:pt>
                <c:pt idx="161">
                  <c:v>29.914100000000001</c:v>
                </c:pt>
                <c:pt idx="162">
                  <c:v>31.144500000000001</c:v>
                </c:pt>
                <c:pt idx="163">
                  <c:v>31.961600000000001</c:v>
                </c:pt>
                <c:pt idx="164">
                  <c:v>31.519400000000001</c:v>
                </c:pt>
                <c:pt idx="165">
                  <c:v>32.278799999999997</c:v>
                </c:pt>
                <c:pt idx="166">
                  <c:v>32.797800000000002</c:v>
                </c:pt>
                <c:pt idx="167">
                  <c:v>33.989800000000002</c:v>
                </c:pt>
                <c:pt idx="168">
                  <c:v>35.085599999999999</c:v>
                </c:pt>
                <c:pt idx="169">
                  <c:v>34.729900000000001</c:v>
                </c:pt>
                <c:pt idx="170">
                  <c:v>33.835999999999999</c:v>
                </c:pt>
                <c:pt idx="171">
                  <c:v>34.662700000000001</c:v>
                </c:pt>
                <c:pt idx="172">
                  <c:v>34.797199999999997</c:v>
                </c:pt>
                <c:pt idx="173">
                  <c:v>35.066400000000002</c:v>
                </c:pt>
                <c:pt idx="174">
                  <c:v>33.307299999999998</c:v>
                </c:pt>
                <c:pt idx="175">
                  <c:v>33.1631</c:v>
                </c:pt>
                <c:pt idx="176">
                  <c:v>32.307600000000001</c:v>
                </c:pt>
                <c:pt idx="177">
                  <c:v>32.365299999999998</c:v>
                </c:pt>
                <c:pt idx="178">
                  <c:v>32.595999999999997</c:v>
                </c:pt>
                <c:pt idx="179">
                  <c:v>34.335799999999999</c:v>
                </c:pt>
                <c:pt idx="180">
                  <c:v>33.691800000000001</c:v>
                </c:pt>
                <c:pt idx="181">
                  <c:v>31.480899999999998</c:v>
                </c:pt>
                <c:pt idx="182">
                  <c:v>31.596299999999999</c:v>
                </c:pt>
                <c:pt idx="183">
                  <c:v>33.432299999999998</c:v>
                </c:pt>
                <c:pt idx="184">
                  <c:v>33.249600000000001</c:v>
                </c:pt>
                <c:pt idx="185">
                  <c:v>32.932400000000001</c:v>
                </c:pt>
                <c:pt idx="186">
                  <c:v>31.6828</c:v>
                </c:pt>
                <c:pt idx="187">
                  <c:v>31.423200000000001</c:v>
                </c:pt>
                <c:pt idx="188">
                  <c:v>32.740200000000002</c:v>
                </c:pt>
                <c:pt idx="189">
                  <c:v>33.932099999999998</c:v>
                </c:pt>
                <c:pt idx="190">
                  <c:v>33.749499999999998</c:v>
                </c:pt>
                <c:pt idx="191">
                  <c:v>33.9129</c:v>
                </c:pt>
                <c:pt idx="192">
                  <c:v>35.768099999999997</c:v>
                </c:pt>
                <c:pt idx="193">
                  <c:v>34.652999999999999</c:v>
                </c:pt>
                <c:pt idx="194">
                  <c:v>33.557200000000002</c:v>
                </c:pt>
                <c:pt idx="195">
                  <c:v>33.989800000000002</c:v>
                </c:pt>
                <c:pt idx="196">
                  <c:v>35.431699999999999</c:v>
                </c:pt>
                <c:pt idx="197">
                  <c:v>36.123699999999999</c:v>
                </c:pt>
                <c:pt idx="198">
                  <c:v>36.796599999999998</c:v>
                </c:pt>
                <c:pt idx="199">
                  <c:v>37.258000000000003</c:v>
                </c:pt>
                <c:pt idx="200">
                  <c:v>37.363799999999998</c:v>
                </c:pt>
                <c:pt idx="201">
                  <c:v>39.795699999999997</c:v>
                </c:pt>
                <c:pt idx="202">
                  <c:v>39.564999999999998</c:v>
                </c:pt>
                <c:pt idx="203">
                  <c:v>36.806199999999997</c:v>
                </c:pt>
                <c:pt idx="204">
                  <c:v>35.633499999999998</c:v>
                </c:pt>
                <c:pt idx="205">
                  <c:v>33.989800000000002</c:v>
                </c:pt>
                <c:pt idx="206">
                  <c:v>31.855799999999999</c:v>
                </c:pt>
                <c:pt idx="207">
                  <c:v>35.575899999999997</c:v>
                </c:pt>
                <c:pt idx="208">
                  <c:v>31.4329</c:v>
                </c:pt>
                <c:pt idx="209">
                  <c:v>29.529599999999999</c:v>
                </c:pt>
                <c:pt idx="210">
                  <c:v>25.6557</c:v>
                </c:pt>
                <c:pt idx="211">
                  <c:v>27.1938</c:v>
                </c:pt>
                <c:pt idx="212">
                  <c:v>27.011099999999999</c:v>
                </c:pt>
                <c:pt idx="213">
                  <c:v>24.511900000000001</c:v>
                </c:pt>
                <c:pt idx="214">
                  <c:v>18.754000000000001</c:v>
                </c:pt>
                <c:pt idx="215">
                  <c:v>16.5047</c:v>
                </c:pt>
                <c:pt idx="216">
                  <c:v>15.5722</c:v>
                </c:pt>
                <c:pt idx="217">
                  <c:v>11.66</c:v>
                </c:pt>
                <c:pt idx="218">
                  <c:v>8.1801999999999992</c:v>
                </c:pt>
                <c:pt idx="219">
                  <c:v>9.7181999999999995</c:v>
                </c:pt>
                <c:pt idx="220">
                  <c:v>12.159800000000001</c:v>
                </c:pt>
                <c:pt idx="221">
                  <c:v>12.957599999999999</c:v>
                </c:pt>
                <c:pt idx="222">
                  <c:v>11.2659</c:v>
                </c:pt>
                <c:pt idx="223">
                  <c:v>12.880699999999999</c:v>
                </c:pt>
                <c:pt idx="224">
                  <c:v>13.3614</c:v>
                </c:pt>
                <c:pt idx="225">
                  <c:v>15.7837</c:v>
                </c:pt>
                <c:pt idx="226">
                  <c:v>13.7074</c:v>
                </c:pt>
                <c:pt idx="227">
                  <c:v>15.3992</c:v>
                </c:pt>
                <c:pt idx="228">
                  <c:v>14.543699999999999</c:v>
                </c:pt>
                <c:pt idx="229">
                  <c:v>15.456899999999999</c:v>
                </c:pt>
                <c:pt idx="230">
                  <c:v>15.4377</c:v>
                </c:pt>
                <c:pt idx="231">
                  <c:v>17.494700000000002</c:v>
                </c:pt>
                <c:pt idx="232">
                  <c:v>18.129200000000001</c:v>
                </c:pt>
                <c:pt idx="233">
                  <c:v>15.7164</c:v>
                </c:pt>
                <c:pt idx="234">
                  <c:v>13.8612</c:v>
                </c:pt>
                <c:pt idx="235">
                  <c:v>15.4953</c:v>
                </c:pt>
                <c:pt idx="236">
                  <c:v>13.918900000000001</c:v>
                </c:pt>
                <c:pt idx="237">
                  <c:v>15.6203</c:v>
                </c:pt>
                <c:pt idx="238">
                  <c:v>15.3992</c:v>
                </c:pt>
                <c:pt idx="239">
                  <c:v>15.2166</c:v>
                </c:pt>
                <c:pt idx="240">
                  <c:v>17.581299999999999</c:v>
                </c:pt>
                <c:pt idx="241">
                  <c:v>19.3596</c:v>
                </c:pt>
                <c:pt idx="242">
                  <c:v>20.109300000000001</c:v>
                </c:pt>
                <c:pt idx="243">
                  <c:v>19.273</c:v>
                </c:pt>
                <c:pt idx="244">
                  <c:v>19.657499999999999</c:v>
                </c:pt>
                <c:pt idx="245">
                  <c:v>18.878900000000002</c:v>
                </c:pt>
                <c:pt idx="246">
                  <c:v>18.129200000000001</c:v>
                </c:pt>
                <c:pt idx="247">
                  <c:v>17.216000000000001</c:v>
                </c:pt>
                <c:pt idx="248">
                  <c:v>15.678000000000001</c:v>
                </c:pt>
                <c:pt idx="249">
                  <c:v>14.6302</c:v>
                </c:pt>
                <c:pt idx="250">
                  <c:v>16.0625</c:v>
                </c:pt>
                <c:pt idx="251">
                  <c:v>15.2935</c:v>
                </c:pt>
                <c:pt idx="252">
                  <c:v>17.216000000000001</c:v>
                </c:pt>
                <c:pt idx="253">
                  <c:v>17.984999999999999</c:v>
                </c:pt>
                <c:pt idx="254">
                  <c:v>18.311800000000002</c:v>
                </c:pt>
                <c:pt idx="255">
                  <c:v>19.292300000000001</c:v>
                </c:pt>
                <c:pt idx="256">
                  <c:v>18.821300000000001</c:v>
                </c:pt>
                <c:pt idx="257">
                  <c:v>18.350300000000001</c:v>
                </c:pt>
                <c:pt idx="258">
                  <c:v>20.032399999999999</c:v>
                </c:pt>
                <c:pt idx="259">
                  <c:v>19.945900000000002</c:v>
                </c:pt>
                <c:pt idx="260">
                  <c:v>19.907499999999999</c:v>
                </c:pt>
                <c:pt idx="261">
                  <c:v>21.83</c:v>
                </c:pt>
                <c:pt idx="262">
                  <c:v>20.2439</c:v>
                </c:pt>
                <c:pt idx="263">
                  <c:v>20.311199999999999</c:v>
                </c:pt>
                <c:pt idx="264">
                  <c:v>20.176600000000001</c:v>
                </c:pt>
                <c:pt idx="265">
                  <c:v>21.416599999999999</c:v>
                </c:pt>
                <c:pt idx="266">
                  <c:v>22.3202</c:v>
                </c:pt>
                <c:pt idx="267">
                  <c:v>22.2241</c:v>
                </c:pt>
                <c:pt idx="268">
                  <c:v>21.426300000000001</c:v>
                </c:pt>
                <c:pt idx="269">
                  <c:v>22.4163</c:v>
                </c:pt>
                <c:pt idx="270">
                  <c:v>22.291399999999999</c:v>
                </c:pt>
                <c:pt idx="271">
                  <c:v>23.425699999999999</c:v>
                </c:pt>
                <c:pt idx="272">
                  <c:v>22.243300000000001</c:v>
                </c:pt>
                <c:pt idx="273">
                  <c:v>22.964200000000002</c:v>
                </c:pt>
                <c:pt idx="274">
                  <c:v>25.127099999999999</c:v>
                </c:pt>
                <c:pt idx="275">
                  <c:v>25.626899999999999</c:v>
                </c:pt>
                <c:pt idx="276">
                  <c:v>26.9438</c:v>
                </c:pt>
                <c:pt idx="277">
                  <c:v>24.156199999999998</c:v>
                </c:pt>
                <c:pt idx="278">
                  <c:v>24.483000000000001</c:v>
                </c:pt>
                <c:pt idx="279">
                  <c:v>24.886700000000001</c:v>
                </c:pt>
                <c:pt idx="280">
                  <c:v>25.847999999999999</c:v>
                </c:pt>
                <c:pt idx="281">
                  <c:v>25.751899999999999</c:v>
                </c:pt>
                <c:pt idx="282">
                  <c:v>25.261600000000001</c:v>
                </c:pt>
                <c:pt idx="283">
                  <c:v>24.1754</c:v>
                </c:pt>
                <c:pt idx="284">
                  <c:v>24.973299999999998</c:v>
                </c:pt>
                <c:pt idx="285">
                  <c:v>24.627199999999998</c:v>
                </c:pt>
                <c:pt idx="286">
                  <c:v>24.809799999999999</c:v>
                </c:pt>
                <c:pt idx="287">
                  <c:v>25.4635</c:v>
                </c:pt>
                <c:pt idx="288">
                  <c:v>24.290800000000001</c:v>
                </c:pt>
                <c:pt idx="289">
                  <c:v>22.964200000000002</c:v>
                </c:pt>
                <c:pt idx="290">
                  <c:v>24.982900000000001</c:v>
                </c:pt>
                <c:pt idx="291">
                  <c:v>23.848600000000001</c:v>
                </c:pt>
                <c:pt idx="292">
                  <c:v>26.0306</c:v>
                </c:pt>
                <c:pt idx="293">
                  <c:v>26.2133</c:v>
                </c:pt>
                <c:pt idx="294">
                  <c:v>25.540400000000002</c:v>
                </c:pt>
                <c:pt idx="295">
                  <c:v>25.0886</c:v>
                </c:pt>
                <c:pt idx="296">
                  <c:v>23.8582</c:v>
                </c:pt>
                <c:pt idx="297">
                  <c:v>24.242699999999999</c:v>
                </c:pt>
                <c:pt idx="298">
                  <c:v>27.799299999999999</c:v>
                </c:pt>
                <c:pt idx="299">
                  <c:v>28.779800000000002</c:v>
                </c:pt>
                <c:pt idx="300">
                  <c:v>29.942900000000002</c:v>
                </c:pt>
                <c:pt idx="301">
                  <c:v>27.9724</c:v>
                </c:pt>
                <c:pt idx="302">
                  <c:v>28.0108</c:v>
                </c:pt>
                <c:pt idx="303">
                  <c:v>30.5581</c:v>
                </c:pt>
                <c:pt idx="304">
                  <c:v>29.558399999999999</c:v>
                </c:pt>
                <c:pt idx="305">
                  <c:v>29.058599999999998</c:v>
                </c:pt>
                <c:pt idx="306">
                  <c:v>30.260100000000001</c:v>
                </c:pt>
                <c:pt idx="307">
                  <c:v>29.933299999999999</c:v>
                </c:pt>
                <c:pt idx="308">
                  <c:v>30.029399999999999</c:v>
                </c:pt>
                <c:pt idx="309">
                  <c:v>28.472200000000001</c:v>
                </c:pt>
                <c:pt idx="310">
                  <c:v>27.9724</c:v>
                </c:pt>
                <c:pt idx="311">
                  <c:v>29.568000000000001</c:v>
                </c:pt>
                <c:pt idx="312">
                  <c:v>30.375499999999999</c:v>
                </c:pt>
                <c:pt idx="313">
                  <c:v>28.549099999999999</c:v>
                </c:pt>
                <c:pt idx="314">
                  <c:v>28.654900000000001</c:v>
                </c:pt>
                <c:pt idx="315">
                  <c:v>28.645199999999999</c:v>
                </c:pt>
                <c:pt idx="316">
                  <c:v>27.866599999999998</c:v>
                </c:pt>
                <c:pt idx="317">
                  <c:v>26.318999999999999</c:v>
                </c:pt>
                <c:pt idx="318">
                  <c:v>25.9633</c:v>
                </c:pt>
                <c:pt idx="319">
                  <c:v>24.617599999999999</c:v>
                </c:pt>
                <c:pt idx="320">
                  <c:v>23.598700000000001</c:v>
                </c:pt>
                <c:pt idx="321">
                  <c:v>23.242999999999999</c:v>
                </c:pt>
                <c:pt idx="322">
                  <c:v>19.378799999999998</c:v>
                </c:pt>
                <c:pt idx="323">
                  <c:v>17.581299999999999</c:v>
                </c:pt>
                <c:pt idx="324">
                  <c:v>16.773800000000001</c:v>
                </c:pt>
                <c:pt idx="325">
                  <c:v>15.5434</c:v>
                </c:pt>
                <c:pt idx="326">
                  <c:v>13.5632</c:v>
                </c:pt>
                <c:pt idx="327">
                  <c:v>12.957599999999999</c:v>
                </c:pt>
                <c:pt idx="328">
                  <c:v>13.524800000000001</c:v>
                </c:pt>
                <c:pt idx="329">
                  <c:v>13.5344</c:v>
                </c:pt>
                <c:pt idx="330">
                  <c:v>13.082599999999999</c:v>
                </c:pt>
                <c:pt idx="331">
                  <c:v>13.101800000000001</c:v>
                </c:pt>
                <c:pt idx="332">
                  <c:v>12.438599999999999</c:v>
                </c:pt>
                <c:pt idx="333">
                  <c:v>10.852499999999999</c:v>
                </c:pt>
                <c:pt idx="334">
                  <c:v>9.7086000000000006</c:v>
                </c:pt>
                <c:pt idx="335">
                  <c:v>7.2093999999999996</c:v>
                </c:pt>
                <c:pt idx="336">
                  <c:v>7.2766999999999999</c:v>
                </c:pt>
                <c:pt idx="337">
                  <c:v>9.7662999999999993</c:v>
                </c:pt>
                <c:pt idx="338">
                  <c:v>10.39</c:v>
                </c:pt>
                <c:pt idx="339">
                  <c:v>9.99</c:v>
                </c:pt>
                <c:pt idx="340">
                  <c:v>10.17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688192"/>
        <c:axId val="564688584"/>
      </c:scatterChart>
      <c:valAx>
        <c:axId val="564688192"/>
        <c:scaling>
          <c:orientation val="minMax"/>
          <c:max val="42123"/>
          <c:min val="31776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688584"/>
        <c:crosses val="autoZero"/>
        <c:crossBetween val="midCat"/>
        <c:majorUnit val="365.25"/>
      </c:valAx>
      <c:valAx>
        <c:axId val="564688584"/>
        <c:scaling>
          <c:orientation val="minMax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6881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2537092304021438"/>
          <c:y val="2.4712392878601018E-2"/>
          <c:w val="0.15256237725529062"/>
          <c:h val="0.26406666034215603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40639737106032E-2"/>
          <c:y val="5.1712508539172329E-2"/>
          <c:w val="0.93692985937733397"/>
          <c:h val="0.91343495516951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GenElectric!$A$82</c:f>
              <c:strCache>
                <c:ptCount val="1"/>
                <c:pt idx="0">
                  <c:v>E (Equity market value) / Ebv (Equity book value)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numFmt formatCode="#,##0.0" sourceLinked="0"/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GenElectric!$B$18:$Z$18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GenElectric!$B$82:$Z$82</c:f>
              <c:numCache>
                <c:formatCode>General</c:formatCode>
                <c:ptCount val="25"/>
                <c:pt idx="0">
                  <c:v>2.31</c:v>
                </c:pt>
                <c:pt idx="1">
                  <c:v>3.0500000000000003</c:v>
                </c:pt>
                <c:pt idx="2">
                  <c:v>3.1200000000000006</c:v>
                </c:pt>
                <c:pt idx="3">
                  <c:v>3.4699999999999998</c:v>
                </c:pt>
                <c:pt idx="4">
                  <c:v>3.3000000000000007</c:v>
                </c:pt>
                <c:pt idx="5">
                  <c:v>4.0499999999999989</c:v>
                </c:pt>
                <c:pt idx="6">
                  <c:v>5.22</c:v>
                </c:pt>
                <c:pt idx="7">
                  <c:v>6.9599999999999991</c:v>
                </c:pt>
                <c:pt idx="8">
                  <c:v>8.58</c:v>
                </c:pt>
                <c:pt idx="9">
                  <c:v>11.939999999999998</c:v>
                </c:pt>
                <c:pt idx="10">
                  <c:v>9.4299999999999979</c:v>
                </c:pt>
                <c:pt idx="11">
                  <c:v>7.2600000000000007</c:v>
                </c:pt>
                <c:pt idx="12">
                  <c:v>3.81</c:v>
                </c:pt>
                <c:pt idx="13">
                  <c:v>3.94</c:v>
                </c:pt>
                <c:pt idx="14">
                  <c:v>3.4999999999999996</c:v>
                </c:pt>
                <c:pt idx="15">
                  <c:v>3.36</c:v>
                </c:pt>
                <c:pt idx="16">
                  <c:v>3.4</c:v>
                </c:pt>
                <c:pt idx="17">
                  <c:v>3.2</c:v>
                </c:pt>
                <c:pt idx="18">
                  <c:v>1.6300000000000003</c:v>
                </c:pt>
                <c:pt idx="19">
                  <c:v>1.3800000000000001</c:v>
                </c:pt>
                <c:pt idx="20">
                  <c:v>1.6300000000000003</c:v>
                </c:pt>
                <c:pt idx="21">
                  <c:v>1.63</c:v>
                </c:pt>
                <c:pt idx="22">
                  <c:v>1.78</c:v>
                </c:pt>
                <c:pt idx="23">
                  <c:v>2.1598082897274473</c:v>
                </c:pt>
                <c:pt idx="24">
                  <c:v>1.8802087682543538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565724536"/>
        <c:axId val="566215800"/>
      </c:barChart>
      <c:catAx>
        <c:axId val="56572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s-ES"/>
          </a:p>
        </c:txPr>
        <c:crossAx val="566215800"/>
        <c:crosses val="autoZero"/>
        <c:auto val="1"/>
        <c:lblAlgn val="ctr"/>
        <c:lblOffset val="100"/>
        <c:noMultiLvlLbl val="0"/>
      </c:catAx>
      <c:valAx>
        <c:axId val="566215800"/>
        <c:scaling>
          <c:orientation val="minMax"/>
          <c:max val="12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56572453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54505106373898382"/>
          <c:y val="7.1470894905260138E-2"/>
          <c:w val="0.44521622602052791"/>
          <c:h val="0.1547858914895912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00" b="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 sz="1000"/>
              <a:t>Equity market value ($ billion)</a:t>
            </a:r>
          </a:p>
        </c:rich>
      </c:tx>
      <c:layout>
        <c:manualLayout>
          <c:xMode val="edge"/>
          <c:yMode val="edge"/>
          <c:x val="6.8786782934628837E-2"/>
          <c:y val="4.1853750839284623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7691629787152513E-2"/>
          <c:y val="5.5555555555555552E-2"/>
          <c:w val="0.91268421603278793"/>
          <c:h val="0.66937862418360494"/>
        </c:manualLayout>
      </c:layout>
      <c:scatterChart>
        <c:scatterStyle val="lineMarker"/>
        <c:varyColors val="0"/>
        <c:ser>
          <c:idx val="1"/>
          <c:order val="0"/>
          <c:tx>
            <c:strRef>
              <c:f>GEmonth!$D$2</c:f>
              <c:strCache>
                <c:ptCount val="1"/>
                <c:pt idx="0">
                  <c:v>General Electric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GEmonth!$A$4:$A$344</c:f>
              <c:numCache>
                <c:formatCode>m/d/yyyy</c:formatCode>
                <c:ptCount val="341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  <c:pt idx="322">
                  <c:v>41577</c:v>
                </c:pt>
                <c:pt idx="323">
                  <c:v>41607</c:v>
                </c:pt>
                <c:pt idx="324">
                  <c:v>41636</c:v>
                </c:pt>
                <c:pt idx="325">
                  <c:v>41669</c:v>
                </c:pt>
                <c:pt idx="326" formatCode="0">
                  <c:v>41697</c:v>
                </c:pt>
                <c:pt idx="327">
                  <c:v>41727</c:v>
                </c:pt>
                <c:pt idx="328">
                  <c:v>41758</c:v>
                </c:pt>
                <c:pt idx="329">
                  <c:v>41789</c:v>
                </c:pt>
                <c:pt idx="330">
                  <c:v>41818</c:v>
                </c:pt>
                <c:pt idx="331">
                  <c:v>41850</c:v>
                </c:pt>
                <c:pt idx="332">
                  <c:v>41881</c:v>
                </c:pt>
                <c:pt idx="333">
                  <c:v>41909</c:v>
                </c:pt>
                <c:pt idx="334">
                  <c:v>41942</c:v>
                </c:pt>
                <c:pt idx="335">
                  <c:v>41972</c:v>
                </c:pt>
                <c:pt idx="336">
                  <c:v>42003</c:v>
                </c:pt>
                <c:pt idx="337">
                  <c:v>42034</c:v>
                </c:pt>
                <c:pt idx="338">
                  <c:v>42062</c:v>
                </c:pt>
                <c:pt idx="339">
                  <c:v>42091</c:v>
                </c:pt>
                <c:pt idx="340" formatCode="0.00">
                  <c:v>42123</c:v>
                </c:pt>
              </c:numCache>
            </c:numRef>
          </c:xVal>
          <c:yVal>
            <c:numRef>
              <c:f>GEmonth!$D$4:$D$344</c:f>
              <c:numCache>
                <c:formatCode>0.0</c:formatCode>
                <c:ptCount val="341"/>
                <c:pt idx="0">
                  <c:v>50.344879999999996</c:v>
                </c:pt>
                <c:pt idx="1">
                  <c:v>56.15813</c:v>
                </c:pt>
                <c:pt idx="2">
                  <c:v>59.667989999999996</c:v>
                </c:pt>
                <c:pt idx="3">
                  <c:v>61.093890000000002</c:v>
                </c:pt>
                <c:pt idx="4">
                  <c:v>61.773209999999999</c:v>
                </c:pt>
                <c:pt idx="5">
                  <c:v>67.25394</c:v>
                </c:pt>
                <c:pt idx="6">
                  <c:v>64.424509999999998</c:v>
                </c:pt>
                <c:pt idx="7">
                  <c:v>63.771560000000001</c:v>
                </c:pt>
                <c:pt idx="8">
                  <c:v>65.157769999999999</c:v>
                </c:pt>
                <c:pt idx="9">
                  <c:v>60.371550000000006</c:v>
                </c:pt>
                <c:pt idx="10">
                  <c:v>60.045230000000004</c:v>
                </c:pt>
                <c:pt idx="11">
                  <c:v>56.111800000000002</c:v>
                </c:pt>
                <c:pt idx="12">
                  <c:v>66.294250000000005</c:v>
                </c:pt>
                <c:pt idx="13">
                  <c:v>65.211019999999991</c:v>
                </c:pt>
                <c:pt idx="14">
                  <c:v>68.135750000000002</c:v>
                </c:pt>
                <c:pt idx="15">
                  <c:v>65.45723000000001</c:v>
                </c:pt>
                <c:pt idx="16">
                  <c:v>66.213309999999993</c:v>
                </c:pt>
                <c:pt idx="17">
                  <c:v>65.997249999999994</c:v>
                </c:pt>
                <c:pt idx="18">
                  <c:v>66.716499999999996</c:v>
                </c:pt>
                <c:pt idx="19">
                  <c:v>65.64388000000001</c:v>
                </c:pt>
                <c:pt idx="20">
                  <c:v>63.498690000000003</c:v>
                </c:pt>
                <c:pt idx="21">
                  <c:v>66.849630000000005</c:v>
                </c:pt>
                <c:pt idx="22">
                  <c:v>65.568190000000001</c:v>
                </c:pt>
                <c:pt idx="23">
                  <c:v>71.121130000000008</c:v>
                </c:pt>
                <c:pt idx="24">
                  <c:v>73.020250000000004</c:v>
                </c:pt>
                <c:pt idx="25">
                  <c:v>73.554059999999993</c:v>
                </c:pt>
                <c:pt idx="26">
                  <c:v>71.846000000000004</c:v>
                </c:pt>
                <c:pt idx="27">
                  <c:v>76.116190000000003</c:v>
                </c:pt>
                <c:pt idx="28">
                  <c:v>77.397190000000009</c:v>
                </c:pt>
                <c:pt idx="29">
                  <c:v>79.212059999999994</c:v>
                </c:pt>
                <c:pt idx="30">
                  <c:v>81.827380000000005</c:v>
                </c:pt>
                <c:pt idx="31">
                  <c:v>84.09769</c:v>
                </c:pt>
                <c:pt idx="32">
                  <c:v>83.884249999999994</c:v>
                </c:pt>
                <c:pt idx="33">
                  <c:v>81.891310000000004</c:v>
                </c:pt>
                <c:pt idx="34">
                  <c:v>82.852190000000007</c:v>
                </c:pt>
                <c:pt idx="35">
                  <c:v>84.026690000000002</c:v>
                </c:pt>
                <c:pt idx="36">
                  <c:v>89.451499999999996</c:v>
                </c:pt>
                <c:pt idx="37">
                  <c:v>91.903689999999997</c:v>
                </c:pt>
                <c:pt idx="38">
                  <c:v>89.877939999999995</c:v>
                </c:pt>
                <c:pt idx="39">
                  <c:v>85.383250000000004</c:v>
                </c:pt>
                <c:pt idx="40">
                  <c:v>81.327500000000001</c:v>
                </c:pt>
                <c:pt idx="41">
                  <c:v>84.956310000000002</c:v>
                </c:pt>
                <c:pt idx="42">
                  <c:v>79.746750000000006</c:v>
                </c:pt>
                <c:pt idx="43">
                  <c:v>86.160690000000002</c:v>
                </c:pt>
                <c:pt idx="44">
                  <c:v>85.190190000000001</c:v>
                </c:pt>
                <c:pt idx="45">
                  <c:v>82.407630000000012</c:v>
                </c:pt>
                <c:pt idx="46">
                  <c:v>83.691879999999998</c:v>
                </c:pt>
                <c:pt idx="47">
                  <c:v>78.644310000000004</c:v>
                </c:pt>
                <c:pt idx="48">
                  <c:v>87.192630000000008</c:v>
                </c:pt>
                <c:pt idx="49">
                  <c:v>88.047440000000009</c:v>
                </c:pt>
                <c:pt idx="50">
                  <c:v>93.603880000000004</c:v>
                </c:pt>
                <c:pt idx="51">
                  <c:v>92.321629999999999</c:v>
                </c:pt>
                <c:pt idx="52">
                  <c:v>95.740880000000004</c:v>
                </c:pt>
                <c:pt idx="53">
                  <c:v>98.400379999999998</c:v>
                </c:pt>
                <c:pt idx="54">
                  <c:v>95.492310000000003</c:v>
                </c:pt>
                <c:pt idx="55">
                  <c:v>99.938749999999999</c:v>
                </c:pt>
                <c:pt idx="56">
                  <c:v>99.727000000000004</c:v>
                </c:pt>
                <c:pt idx="57">
                  <c:v>107.2547</c:v>
                </c:pt>
                <c:pt idx="58">
                  <c:v>106.4134</c:v>
                </c:pt>
                <c:pt idx="59">
                  <c:v>112.11710000000001</c:v>
                </c:pt>
                <c:pt idx="60">
                  <c:v>120.2598</c:v>
                </c:pt>
                <c:pt idx="61">
                  <c:v>128.1936</c:v>
                </c:pt>
                <c:pt idx="62">
                  <c:v>126.1057</c:v>
                </c:pt>
                <c:pt idx="63">
                  <c:v>130.07259999999999</c:v>
                </c:pt>
                <c:pt idx="64">
                  <c:v>128.43010000000001</c:v>
                </c:pt>
                <c:pt idx="65">
                  <c:v>137.57410000000002</c:v>
                </c:pt>
                <c:pt idx="66">
                  <c:v>144.22409999999999</c:v>
                </c:pt>
                <c:pt idx="67">
                  <c:v>136.51479999999998</c:v>
                </c:pt>
                <c:pt idx="68">
                  <c:v>137.96710000000002</c:v>
                </c:pt>
                <c:pt idx="69">
                  <c:v>150.26410000000001</c:v>
                </c:pt>
                <c:pt idx="70">
                  <c:v>159.75889999999998</c:v>
                </c:pt>
                <c:pt idx="71">
                  <c:v>171.7304</c:v>
                </c:pt>
                <c:pt idx="72">
                  <c:v>162.78979999999999</c:v>
                </c:pt>
                <c:pt idx="73">
                  <c:v>170.40450000000001</c:v>
                </c:pt>
                <c:pt idx="74">
                  <c:v>169.37549999999999</c:v>
                </c:pt>
                <c:pt idx="75">
                  <c:v>163.40729999999999</c:v>
                </c:pt>
                <c:pt idx="76">
                  <c:v>182.06029999999998</c:v>
                </c:pt>
                <c:pt idx="77">
                  <c:v>197.20779999999999</c:v>
                </c:pt>
                <c:pt idx="78">
                  <c:v>212.31489999999999</c:v>
                </c:pt>
                <c:pt idx="79">
                  <c:v>229.05510000000001</c:v>
                </c:pt>
                <c:pt idx="80">
                  <c:v>204.33459999999999</c:v>
                </c:pt>
                <c:pt idx="81">
                  <c:v>222.29810000000001</c:v>
                </c:pt>
                <c:pt idx="82">
                  <c:v>211.49979999999999</c:v>
                </c:pt>
                <c:pt idx="83">
                  <c:v>241.77250000000001</c:v>
                </c:pt>
                <c:pt idx="84">
                  <c:v>240.1361</c:v>
                </c:pt>
                <c:pt idx="85">
                  <c:v>253.6361</c:v>
                </c:pt>
                <c:pt idx="86">
                  <c:v>254.45429999999999</c:v>
                </c:pt>
                <c:pt idx="87">
                  <c:v>282.06790000000001</c:v>
                </c:pt>
                <c:pt idx="88">
                  <c:v>277.74599999999998</c:v>
                </c:pt>
                <c:pt idx="89">
                  <c:v>271.63740000000001</c:v>
                </c:pt>
                <c:pt idx="90">
                  <c:v>296.07249999999999</c:v>
                </c:pt>
                <c:pt idx="91">
                  <c:v>291.38909999999998</c:v>
                </c:pt>
                <c:pt idx="92">
                  <c:v>260.2946</c:v>
                </c:pt>
                <c:pt idx="93">
                  <c:v>258.87110000000001</c:v>
                </c:pt>
                <c:pt idx="94">
                  <c:v>284.69729999999998</c:v>
                </c:pt>
                <c:pt idx="95">
                  <c:v>296.1438</c:v>
                </c:pt>
                <c:pt idx="96">
                  <c:v>334.23690000000005</c:v>
                </c:pt>
                <c:pt idx="97">
                  <c:v>343.65790000000004</c:v>
                </c:pt>
                <c:pt idx="98">
                  <c:v>328.70729999999998</c:v>
                </c:pt>
                <c:pt idx="99">
                  <c:v>362.32259999999997</c:v>
                </c:pt>
                <c:pt idx="100">
                  <c:v>345.1277</c:v>
                </c:pt>
                <c:pt idx="101">
                  <c:v>332.70890000000003</c:v>
                </c:pt>
                <c:pt idx="102">
                  <c:v>369.72209999999995</c:v>
                </c:pt>
                <c:pt idx="103">
                  <c:v>356.63459999999998</c:v>
                </c:pt>
                <c:pt idx="104">
                  <c:v>367.4726</c:v>
                </c:pt>
                <c:pt idx="105">
                  <c:v>387.92190000000005</c:v>
                </c:pt>
                <c:pt idx="106">
                  <c:v>444.12150000000003</c:v>
                </c:pt>
                <c:pt idx="107">
                  <c:v>426.50420000000003</c:v>
                </c:pt>
                <c:pt idx="108">
                  <c:v>507.21629999999999</c:v>
                </c:pt>
                <c:pt idx="109">
                  <c:v>439.13940000000002</c:v>
                </c:pt>
                <c:pt idx="110">
                  <c:v>433.87890000000004</c:v>
                </c:pt>
                <c:pt idx="111">
                  <c:v>512.83280000000002</c:v>
                </c:pt>
                <c:pt idx="112">
                  <c:v>518.18770000000006</c:v>
                </c:pt>
                <c:pt idx="113">
                  <c:v>520.24979999999994</c:v>
                </c:pt>
                <c:pt idx="114">
                  <c:v>524.35140000000001</c:v>
                </c:pt>
                <c:pt idx="115">
                  <c:v>511.2921</c:v>
                </c:pt>
                <c:pt idx="116">
                  <c:v>580.4303000000001</c:v>
                </c:pt>
                <c:pt idx="117">
                  <c:v>571.19709999999998</c:v>
                </c:pt>
                <c:pt idx="118">
                  <c:v>543.12609999999995</c:v>
                </c:pt>
                <c:pt idx="119">
                  <c:v>491.10480000000001</c:v>
                </c:pt>
                <c:pt idx="120">
                  <c:v>475.00309999999996</c:v>
                </c:pt>
                <c:pt idx="121">
                  <c:v>455.8048</c:v>
                </c:pt>
                <c:pt idx="122">
                  <c:v>460.75909999999999</c:v>
                </c:pt>
                <c:pt idx="123">
                  <c:v>415.79220000000004</c:v>
                </c:pt>
                <c:pt idx="124">
                  <c:v>482.27979999999997</c:v>
                </c:pt>
                <c:pt idx="125">
                  <c:v>486.95059999999995</c:v>
                </c:pt>
                <c:pt idx="126">
                  <c:v>485.95679999999999</c:v>
                </c:pt>
                <c:pt idx="127">
                  <c:v>432.16579999999999</c:v>
                </c:pt>
                <c:pt idx="128">
                  <c:v>407.12990000000002</c:v>
                </c:pt>
                <c:pt idx="129">
                  <c:v>369.5761</c:v>
                </c:pt>
                <c:pt idx="130">
                  <c:v>361.45580000000001</c:v>
                </c:pt>
                <c:pt idx="131">
                  <c:v>382.20409999999998</c:v>
                </c:pt>
                <c:pt idx="132">
                  <c:v>397.88920000000002</c:v>
                </c:pt>
                <c:pt idx="133">
                  <c:v>368.8021</c:v>
                </c:pt>
                <c:pt idx="134">
                  <c:v>382.20409999999998</c:v>
                </c:pt>
                <c:pt idx="135">
                  <c:v>372.1592</c:v>
                </c:pt>
                <c:pt idx="136">
                  <c:v>313.52790000000005</c:v>
                </c:pt>
                <c:pt idx="137">
                  <c:v>309.46209999999996</c:v>
                </c:pt>
                <c:pt idx="138">
                  <c:v>289.03190000000001</c:v>
                </c:pt>
                <c:pt idx="139">
                  <c:v>320.37290000000002</c:v>
                </c:pt>
                <c:pt idx="140">
                  <c:v>299.97640000000001</c:v>
                </c:pt>
                <c:pt idx="141">
                  <c:v>245.29349999999999</c:v>
                </c:pt>
                <c:pt idx="142">
                  <c:v>251.22409999999999</c:v>
                </c:pt>
                <c:pt idx="143">
                  <c:v>269.63049999999998</c:v>
                </c:pt>
                <c:pt idx="144">
                  <c:v>242.26949999999999</c:v>
                </c:pt>
                <c:pt idx="145">
                  <c:v>230.23070000000001</c:v>
                </c:pt>
                <c:pt idx="146">
                  <c:v>240.33610000000002</c:v>
                </c:pt>
                <c:pt idx="147">
                  <c:v>254.8561</c:v>
                </c:pt>
                <c:pt idx="148">
                  <c:v>294.3338</c:v>
                </c:pt>
                <c:pt idx="149">
                  <c:v>286.80459999999999</c:v>
                </c:pt>
                <c:pt idx="150">
                  <c:v>287.34030000000001</c:v>
                </c:pt>
                <c:pt idx="151">
                  <c:v>284.93579999999997</c:v>
                </c:pt>
                <c:pt idx="152">
                  <c:v>296.25709999999998</c:v>
                </c:pt>
                <c:pt idx="153">
                  <c:v>299.31790000000001</c:v>
                </c:pt>
                <c:pt idx="154">
                  <c:v>291.28520000000003</c:v>
                </c:pt>
                <c:pt idx="155">
                  <c:v>287.87129999999996</c:v>
                </c:pt>
                <c:pt idx="156">
                  <c:v>311.75529999999998</c:v>
                </c:pt>
                <c:pt idx="157">
                  <c:v>338.42259999999999</c:v>
                </c:pt>
                <c:pt idx="158">
                  <c:v>327.87359999999995</c:v>
                </c:pt>
                <c:pt idx="159">
                  <c:v>311.68979999999999</c:v>
                </c:pt>
                <c:pt idx="160">
                  <c:v>305.86869999999999</c:v>
                </c:pt>
                <c:pt idx="161">
                  <c:v>317.81740000000002</c:v>
                </c:pt>
                <c:pt idx="162">
                  <c:v>342.08709999999996</c:v>
                </c:pt>
                <c:pt idx="163">
                  <c:v>351.06170000000003</c:v>
                </c:pt>
                <c:pt idx="164">
                  <c:v>346.20479999999998</c:v>
                </c:pt>
                <c:pt idx="165">
                  <c:v>355.012</c:v>
                </c:pt>
                <c:pt idx="166">
                  <c:v>360.72109999999998</c:v>
                </c:pt>
                <c:pt idx="167">
                  <c:v>373.8304</c:v>
                </c:pt>
                <c:pt idx="168">
                  <c:v>385.88279999999997</c:v>
                </c:pt>
                <c:pt idx="169">
                  <c:v>381.971</c:v>
                </c:pt>
                <c:pt idx="170">
                  <c:v>373.11700000000002</c:v>
                </c:pt>
                <c:pt idx="171">
                  <c:v>382.44940000000003</c:v>
                </c:pt>
                <c:pt idx="172">
                  <c:v>383.93420000000003</c:v>
                </c:pt>
                <c:pt idx="173">
                  <c:v>386.90379999999999</c:v>
                </c:pt>
                <c:pt idx="174">
                  <c:v>367.31790000000001</c:v>
                </c:pt>
                <c:pt idx="175">
                  <c:v>365.72790000000003</c:v>
                </c:pt>
                <c:pt idx="176">
                  <c:v>356.29300000000001</c:v>
                </c:pt>
                <c:pt idx="177">
                  <c:v>355.76249999999999</c:v>
                </c:pt>
                <c:pt idx="178">
                  <c:v>358.29829999999998</c:v>
                </c:pt>
                <c:pt idx="179">
                  <c:v>377.423</c:v>
                </c:pt>
                <c:pt idx="180">
                  <c:v>370.34370000000001</c:v>
                </c:pt>
                <c:pt idx="181">
                  <c:v>346.04169999999999</c:v>
                </c:pt>
                <c:pt idx="182">
                  <c:v>342.61779999999999</c:v>
                </c:pt>
                <c:pt idx="183">
                  <c:v>361.65620000000001</c:v>
                </c:pt>
                <c:pt idx="184">
                  <c:v>359.68040000000002</c:v>
                </c:pt>
                <c:pt idx="185">
                  <c:v>356.24900000000002</c:v>
                </c:pt>
                <c:pt idx="186">
                  <c:v>340.25779999999997</c:v>
                </c:pt>
                <c:pt idx="187">
                  <c:v>337.47040000000004</c:v>
                </c:pt>
                <c:pt idx="188">
                  <c:v>351.61349999999999</c:v>
                </c:pt>
                <c:pt idx="189">
                  <c:v>364.4144</c:v>
                </c:pt>
                <c:pt idx="190">
                  <c:v>361.91730000000001</c:v>
                </c:pt>
                <c:pt idx="191">
                  <c:v>363.66980000000001</c:v>
                </c:pt>
                <c:pt idx="192">
                  <c:v>383.5643</c:v>
                </c:pt>
                <c:pt idx="193">
                  <c:v>371.6069</c:v>
                </c:pt>
                <c:pt idx="194">
                  <c:v>358.98390000000001</c:v>
                </c:pt>
                <c:pt idx="195">
                  <c:v>363.61129999999997</c:v>
                </c:pt>
                <c:pt idx="196">
                  <c:v>379.22129999999999</c:v>
                </c:pt>
                <c:pt idx="197">
                  <c:v>386.62870000000004</c:v>
                </c:pt>
                <c:pt idx="198">
                  <c:v>393.8306</c:v>
                </c:pt>
                <c:pt idx="199">
                  <c:v>397.14140000000003</c:v>
                </c:pt>
                <c:pt idx="200">
                  <c:v>398.26850000000002</c:v>
                </c:pt>
                <c:pt idx="201">
                  <c:v>424.19130000000001</c:v>
                </c:pt>
                <c:pt idx="202">
                  <c:v>415.97129999999999</c:v>
                </c:pt>
                <c:pt idx="203">
                  <c:v>386.96659999999997</c:v>
                </c:pt>
                <c:pt idx="204">
                  <c:v>374.63690000000003</c:v>
                </c:pt>
                <c:pt idx="205">
                  <c:v>357.3553</c:v>
                </c:pt>
                <c:pt idx="206">
                  <c:v>330.92490000000004</c:v>
                </c:pt>
                <c:pt idx="207">
                  <c:v>368.89330000000001</c:v>
                </c:pt>
                <c:pt idx="208">
                  <c:v>325.93390000000005</c:v>
                </c:pt>
                <c:pt idx="209">
                  <c:v>306.19829999999996</c:v>
                </c:pt>
                <c:pt idx="210">
                  <c:v>265.51259999999996</c:v>
                </c:pt>
                <c:pt idx="211">
                  <c:v>281.42950000000002</c:v>
                </c:pt>
                <c:pt idx="212">
                  <c:v>279.5394</c:v>
                </c:pt>
                <c:pt idx="213">
                  <c:v>253.86410000000001</c:v>
                </c:pt>
                <c:pt idx="214">
                  <c:v>194.23089999999999</c:v>
                </c:pt>
                <c:pt idx="215">
                  <c:v>170.93510000000001</c:v>
                </c:pt>
                <c:pt idx="216">
                  <c:v>161.2783</c:v>
                </c:pt>
                <c:pt idx="217">
                  <c:v>128.09780000000001</c:v>
                </c:pt>
                <c:pt idx="218">
                  <c:v>89.869129999999998</c:v>
                </c:pt>
                <c:pt idx="219">
                  <c:v>107.0605</c:v>
                </c:pt>
                <c:pt idx="220">
                  <c:v>133.9581</c:v>
                </c:pt>
                <c:pt idx="221">
                  <c:v>142.7474</c:v>
                </c:pt>
                <c:pt idx="222">
                  <c:v>124.54649999999999</c:v>
                </c:pt>
                <c:pt idx="223">
                  <c:v>142.39959999999999</c:v>
                </c:pt>
                <c:pt idx="224">
                  <c:v>147.7131</c:v>
                </c:pt>
                <c:pt idx="225">
                  <c:v>174.83179999999999</c:v>
                </c:pt>
                <c:pt idx="226">
                  <c:v>151.83320000000001</c:v>
                </c:pt>
                <c:pt idx="227">
                  <c:v>170.5727</c:v>
                </c:pt>
                <c:pt idx="228">
                  <c:v>161.09649999999999</c:v>
                </c:pt>
                <c:pt idx="229">
                  <c:v>171.57050000000001</c:v>
                </c:pt>
                <c:pt idx="230">
                  <c:v>171.35720000000001</c:v>
                </c:pt>
                <c:pt idx="231">
                  <c:v>194.3125</c:v>
                </c:pt>
                <c:pt idx="232">
                  <c:v>201.35890000000001</c:v>
                </c:pt>
                <c:pt idx="233">
                  <c:v>174.5609</c:v>
                </c:pt>
                <c:pt idx="234">
                  <c:v>154.16739999999999</c:v>
                </c:pt>
                <c:pt idx="235">
                  <c:v>172.3424</c:v>
                </c:pt>
                <c:pt idx="236">
                  <c:v>154.80879999999999</c:v>
                </c:pt>
                <c:pt idx="237">
                  <c:v>173.13910000000001</c:v>
                </c:pt>
                <c:pt idx="238">
                  <c:v>170.6884</c:v>
                </c:pt>
                <c:pt idx="239">
                  <c:v>168.66410000000002</c:v>
                </c:pt>
                <c:pt idx="240">
                  <c:v>194.87470000000002</c:v>
                </c:pt>
                <c:pt idx="241">
                  <c:v>213.85629999999998</c:v>
                </c:pt>
                <c:pt idx="242">
                  <c:v>222.1567</c:v>
                </c:pt>
                <c:pt idx="243">
                  <c:v>212.9178</c:v>
                </c:pt>
                <c:pt idx="244">
                  <c:v>216.88129999999998</c:v>
                </c:pt>
                <c:pt idx="245">
                  <c:v>208.29089999999999</c:v>
                </c:pt>
                <c:pt idx="246">
                  <c:v>200.01849999999999</c:v>
                </c:pt>
                <c:pt idx="247">
                  <c:v>189.8518</c:v>
                </c:pt>
                <c:pt idx="248">
                  <c:v>172.8914</c:v>
                </c:pt>
                <c:pt idx="249">
                  <c:v>160.68279999999999</c:v>
                </c:pt>
                <c:pt idx="250">
                  <c:v>176.41320000000002</c:v>
                </c:pt>
                <c:pt idx="251">
                  <c:v>167.9674</c:v>
                </c:pt>
                <c:pt idx="252">
                  <c:v>189.08199999999999</c:v>
                </c:pt>
                <c:pt idx="253">
                  <c:v>197.52789999999999</c:v>
                </c:pt>
                <c:pt idx="254">
                  <c:v>201.52720000000002</c:v>
                </c:pt>
                <c:pt idx="255">
                  <c:v>212.3177</c:v>
                </c:pt>
                <c:pt idx="256">
                  <c:v>207.29939999999999</c:v>
                </c:pt>
                <c:pt idx="257">
                  <c:v>202.26439999999999</c:v>
                </c:pt>
                <c:pt idx="258">
                  <c:v>220.80629999999999</c:v>
                </c:pt>
                <c:pt idx="259">
                  <c:v>219.0959</c:v>
                </c:pt>
                <c:pt idx="260">
                  <c:v>218.67349999999999</c:v>
                </c:pt>
                <c:pt idx="261">
                  <c:v>239.7912</c:v>
                </c:pt>
                <c:pt idx="262">
                  <c:v>220.84139999999999</c:v>
                </c:pt>
                <c:pt idx="263">
                  <c:v>221.5753</c:v>
                </c:pt>
                <c:pt idx="264">
                  <c:v>220.10720000000001</c:v>
                </c:pt>
                <c:pt idx="265">
                  <c:v>233.63470000000001</c:v>
                </c:pt>
                <c:pt idx="266">
                  <c:v>240.8126</c:v>
                </c:pt>
                <c:pt idx="267">
                  <c:v>239.7756</c:v>
                </c:pt>
                <c:pt idx="268">
                  <c:v>230.4811</c:v>
                </c:pt>
                <c:pt idx="269">
                  <c:v>241.13139999999999</c:v>
                </c:pt>
                <c:pt idx="270">
                  <c:v>239.78720000000001</c:v>
                </c:pt>
                <c:pt idx="271">
                  <c:v>248.17860000000002</c:v>
                </c:pt>
                <c:pt idx="272">
                  <c:v>235.65260000000001</c:v>
                </c:pt>
                <c:pt idx="273">
                  <c:v>241.7039</c:v>
                </c:pt>
                <c:pt idx="274">
                  <c:v>264.46790000000004</c:v>
                </c:pt>
                <c:pt idx="275">
                  <c:v>269.72890000000001</c:v>
                </c:pt>
                <c:pt idx="276">
                  <c:v>283.58979999999997</c:v>
                </c:pt>
                <c:pt idx="277">
                  <c:v>254.24929999999998</c:v>
                </c:pt>
                <c:pt idx="278">
                  <c:v>255.3366</c:v>
                </c:pt>
                <c:pt idx="279">
                  <c:v>259.61879999999996</c:v>
                </c:pt>
                <c:pt idx="280">
                  <c:v>269.6465</c:v>
                </c:pt>
                <c:pt idx="281">
                  <c:v>268.64370000000002</c:v>
                </c:pt>
                <c:pt idx="282">
                  <c:v>263.6909</c:v>
                </c:pt>
                <c:pt idx="283">
                  <c:v>252.35249999999999</c:v>
                </c:pt>
                <c:pt idx="284">
                  <c:v>260.6807</c:v>
                </c:pt>
                <c:pt idx="285">
                  <c:v>257.2808</c:v>
                </c:pt>
                <c:pt idx="286">
                  <c:v>259.18889999999999</c:v>
                </c:pt>
                <c:pt idx="287">
                  <c:v>266.01759999999996</c:v>
                </c:pt>
                <c:pt idx="288">
                  <c:v>253.7662</c:v>
                </c:pt>
                <c:pt idx="289">
                  <c:v>239.90789999999998</c:v>
                </c:pt>
                <c:pt idx="290">
                  <c:v>261.6542</c:v>
                </c:pt>
                <c:pt idx="291">
                  <c:v>249.9837</c:v>
                </c:pt>
                <c:pt idx="292">
                  <c:v>272.85609999999997</c:v>
                </c:pt>
                <c:pt idx="293">
                  <c:v>274.77050000000003</c:v>
                </c:pt>
                <c:pt idx="294">
                  <c:v>268.26209999999998</c:v>
                </c:pt>
                <c:pt idx="295">
                  <c:v>263.51679999999999</c:v>
                </c:pt>
                <c:pt idx="296">
                  <c:v>250.5934</c:v>
                </c:pt>
                <c:pt idx="297">
                  <c:v>254.95489999999998</c:v>
                </c:pt>
                <c:pt idx="298">
                  <c:v>292.35909999999996</c:v>
                </c:pt>
                <c:pt idx="299">
                  <c:v>302.67059999999998</c:v>
                </c:pt>
                <c:pt idx="300">
                  <c:v>314.90270000000004</c:v>
                </c:pt>
                <c:pt idx="301">
                  <c:v>294.17879999999997</c:v>
                </c:pt>
                <c:pt idx="302">
                  <c:v>270.5686</c:v>
                </c:pt>
                <c:pt idx="303">
                  <c:v>292.32979999999998</c:v>
                </c:pt>
                <c:pt idx="304">
                  <c:v>282.76640000000003</c:v>
                </c:pt>
                <c:pt idx="305">
                  <c:v>277.9846</c:v>
                </c:pt>
                <c:pt idx="306">
                  <c:v>282.09949999999998</c:v>
                </c:pt>
                <c:pt idx="307">
                  <c:v>279.05270000000002</c:v>
                </c:pt>
                <c:pt idx="308">
                  <c:v>279.94890000000004</c:v>
                </c:pt>
                <c:pt idx="309">
                  <c:v>262.02999999999997</c:v>
                </c:pt>
                <c:pt idx="310">
                  <c:v>257.42989999999998</c:v>
                </c:pt>
                <c:pt idx="311">
                  <c:v>272.11490000000003</c:v>
                </c:pt>
                <c:pt idx="312">
                  <c:v>279.54590000000002</c:v>
                </c:pt>
                <c:pt idx="313">
                  <c:v>259.1259</c:v>
                </c:pt>
                <c:pt idx="314">
                  <c:v>259.60669999999999</c:v>
                </c:pt>
                <c:pt idx="315">
                  <c:v>258.78210000000001</c:v>
                </c:pt>
                <c:pt idx="316">
                  <c:v>251.74809999999999</c:v>
                </c:pt>
                <c:pt idx="317">
                  <c:v>237.76689999999999</c:v>
                </c:pt>
                <c:pt idx="318">
                  <c:v>233.851</c:v>
                </c:pt>
                <c:pt idx="319">
                  <c:v>221.72989999999999</c:v>
                </c:pt>
                <c:pt idx="320">
                  <c:v>212.55260000000001</c:v>
                </c:pt>
                <c:pt idx="321">
                  <c:v>209.34899999999999</c:v>
                </c:pt>
                <c:pt idx="322">
                  <c:v>174.82920000000001</c:v>
                </c:pt>
                <c:pt idx="323">
                  <c:v>158.61229999999998</c:v>
                </c:pt>
                <c:pt idx="324">
                  <c:v>151.3278</c:v>
                </c:pt>
                <c:pt idx="325">
                  <c:v>140.3972</c:v>
                </c:pt>
                <c:pt idx="326">
                  <c:v>122.5243</c:v>
                </c:pt>
                <c:pt idx="327">
                  <c:v>117.05369999999999</c:v>
                </c:pt>
                <c:pt idx="328">
                  <c:v>122.2026</c:v>
                </c:pt>
                <c:pt idx="329">
                  <c:v>122.2895</c:v>
                </c:pt>
                <c:pt idx="330">
                  <c:v>118.20739999999999</c:v>
                </c:pt>
                <c:pt idx="331">
                  <c:v>118.45939999999999</c:v>
                </c:pt>
                <c:pt idx="332">
                  <c:v>112.46250000000001</c:v>
                </c:pt>
                <c:pt idx="333">
                  <c:v>98.122249999999994</c:v>
                </c:pt>
                <c:pt idx="334">
                  <c:v>87.850880000000004</c:v>
                </c:pt>
                <c:pt idx="335">
                  <c:v>65.235839999999996</c:v>
                </c:pt>
                <c:pt idx="336">
                  <c:v>65.84469</c:v>
                </c:pt>
                <c:pt idx="337">
                  <c:v>88.443559999999991</c:v>
                </c:pt>
                <c:pt idx="338">
                  <c:v>90.373380000000012</c:v>
                </c:pt>
                <c:pt idx="339">
                  <c:v>87.009190000000004</c:v>
                </c:pt>
                <c:pt idx="340">
                  <c:v>88.690559999999991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689368"/>
        <c:axId val="564689760"/>
      </c:scatterChart>
      <c:valAx>
        <c:axId val="564689368"/>
        <c:scaling>
          <c:orientation val="minMax"/>
          <c:max val="42123"/>
          <c:min val="31776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689760"/>
        <c:crosses val="autoZero"/>
        <c:crossBetween val="midCat"/>
        <c:majorUnit val="365.25"/>
      </c:valAx>
      <c:valAx>
        <c:axId val="564689760"/>
        <c:scaling>
          <c:orientation val="minMax"/>
          <c:max val="6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6893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837788907235811"/>
          <c:y val="8.647988768845755E-3"/>
          <c:w val="0.25885615251299821"/>
          <c:h val="0.1416401147530977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Number of shares (million)</a:t>
            </a:r>
          </a:p>
        </c:rich>
      </c:tx>
      <c:layout>
        <c:manualLayout>
          <c:xMode val="edge"/>
          <c:yMode val="edge"/>
          <c:x val="6.8786782934628837E-2"/>
          <c:y val="4.1853809369719198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7691629787152513E-2"/>
          <c:y val="5.5555555555555552E-2"/>
          <c:w val="0.91268421603278793"/>
          <c:h val="0.60545140761514404"/>
        </c:manualLayout>
      </c:layout>
      <c:scatterChart>
        <c:scatterStyle val="lineMarker"/>
        <c:varyColors val="0"/>
        <c:ser>
          <c:idx val="1"/>
          <c:order val="0"/>
          <c:tx>
            <c:strRef>
              <c:f>GEmonth!$C$2</c:f>
              <c:strCache>
                <c:ptCount val="1"/>
                <c:pt idx="0">
                  <c:v>General Electric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GEmonth!$A$4:$A$325</c:f>
              <c:numCache>
                <c:formatCode>m/d/yyyy</c:formatCode>
                <c:ptCount val="322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</c:numCache>
            </c:numRef>
          </c:xVal>
          <c:yVal>
            <c:numRef>
              <c:f>GEmonth!$C$4:$C$325</c:f>
              <c:numCache>
                <c:formatCode>0.00</c:formatCode>
                <c:ptCount val="322"/>
                <c:pt idx="0">
                  <c:v>877.471</c:v>
                </c:pt>
                <c:pt idx="1">
                  <c:v>877.471</c:v>
                </c:pt>
                <c:pt idx="2">
                  <c:v>877.471</c:v>
                </c:pt>
                <c:pt idx="3">
                  <c:v>877.471</c:v>
                </c:pt>
                <c:pt idx="4">
                  <c:v>873.12</c:v>
                </c:pt>
                <c:pt idx="5">
                  <c:v>870.60199999999998</c:v>
                </c:pt>
                <c:pt idx="6">
                  <c:v>870.60199999999998</c:v>
                </c:pt>
                <c:pt idx="7">
                  <c:v>870.60199999999998</c:v>
                </c:pt>
                <c:pt idx="8">
                  <c:v>870.221</c:v>
                </c:pt>
                <c:pt idx="9">
                  <c:v>870.221</c:v>
                </c:pt>
                <c:pt idx="10">
                  <c:v>870.221</c:v>
                </c:pt>
                <c:pt idx="11">
                  <c:v>866.59199999999998</c:v>
                </c:pt>
                <c:pt idx="12">
                  <c:v>866.59199999999998</c:v>
                </c:pt>
                <c:pt idx="13">
                  <c:v>866.59199999999998</c:v>
                </c:pt>
                <c:pt idx="14">
                  <c:v>866.59199999999998</c:v>
                </c:pt>
                <c:pt idx="15">
                  <c:v>864.12199999999996</c:v>
                </c:pt>
                <c:pt idx="16">
                  <c:v>864.12199999999996</c:v>
                </c:pt>
                <c:pt idx="17">
                  <c:v>864.12199999999996</c:v>
                </c:pt>
                <c:pt idx="18">
                  <c:v>858.09100000000001</c:v>
                </c:pt>
                <c:pt idx="19">
                  <c:v>858.09100000000001</c:v>
                </c:pt>
                <c:pt idx="20">
                  <c:v>858.09100000000001</c:v>
                </c:pt>
                <c:pt idx="21">
                  <c:v>854.30899999999997</c:v>
                </c:pt>
                <c:pt idx="22">
                  <c:v>854.30899999999997</c:v>
                </c:pt>
                <c:pt idx="23">
                  <c:v>854.30899999999997</c:v>
                </c:pt>
                <c:pt idx="24">
                  <c:v>854.03899999999999</c:v>
                </c:pt>
                <c:pt idx="25">
                  <c:v>854.03899999999999</c:v>
                </c:pt>
                <c:pt idx="26">
                  <c:v>854.03899999999999</c:v>
                </c:pt>
                <c:pt idx="27">
                  <c:v>854.03899999999999</c:v>
                </c:pt>
                <c:pt idx="28">
                  <c:v>854.03899999999999</c:v>
                </c:pt>
                <c:pt idx="29">
                  <c:v>854.03899999999999</c:v>
                </c:pt>
                <c:pt idx="30">
                  <c:v>854.59500000000003</c:v>
                </c:pt>
                <c:pt idx="31">
                  <c:v>853.78399999999999</c:v>
                </c:pt>
                <c:pt idx="32">
                  <c:v>853.78399999999999</c:v>
                </c:pt>
                <c:pt idx="33">
                  <c:v>854.14700000000005</c:v>
                </c:pt>
                <c:pt idx="34">
                  <c:v>854.14700000000005</c:v>
                </c:pt>
                <c:pt idx="35">
                  <c:v>854.14700000000005</c:v>
                </c:pt>
                <c:pt idx="36">
                  <c:v>852.93499999999995</c:v>
                </c:pt>
                <c:pt idx="37">
                  <c:v>852.93499999999995</c:v>
                </c:pt>
                <c:pt idx="38">
                  <c:v>852.93499999999995</c:v>
                </c:pt>
                <c:pt idx="39">
                  <c:v>853.83299999999997</c:v>
                </c:pt>
                <c:pt idx="40">
                  <c:v>853.83299999999997</c:v>
                </c:pt>
                <c:pt idx="41">
                  <c:v>1707.665</c:v>
                </c:pt>
                <c:pt idx="42">
                  <c:v>1710.386</c:v>
                </c:pt>
                <c:pt idx="43">
                  <c:v>1710.386</c:v>
                </c:pt>
                <c:pt idx="44">
                  <c:v>1712.366</c:v>
                </c:pt>
                <c:pt idx="45">
                  <c:v>1712.366</c:v>
                </c:pt>
                <c:pt idx="46">
                  <c:v>1712.366</c:v>
                </c:pt>
                <c:pt idx="47">
                  <c:v>1709.66</c:v>
                </c:pt>
                <c:pt idx="48">
                  <c:v>1709.66</c:v>
                </c:pt>
                <c:pt idx="49">
                  <c:v>1709.66</c:v>
                </c:pt>
                <c:pt idx="50">
                  <c:v>1709.66</c:v>
                </c:pt>
                <c:pt idx="51">
                  <c:v>1709.66</c:v>
                </c:pt>
                <c:pt idx="52">
                  <c:v>1709.66</c:v>
                </c:pt>
                <c:pt idx="53">
                  <c:v>1696.558</c:v>
                </c:pt>
                <c:pt idx="54">
                  <c:v>1693.877</c:v>
                </c:pt>
                <c:pt idx="55">
                  <c:v>1693.877</c:v>
                </c:pt>
                <c:pt idx="56">
                  <c:v>1693.877</c:v>
                </c:pt>
                <c:pt idx="57">
                  <c:v>1682.4259999999999</c:v>
                </c:pt>
                <c:pt idx="58">
                  <c:v>1682.4259999999999</c:v>
                </c:pt>
                <c:pt idx="59">
                  <c:v>1670.2739999999999</c:v>
                </c:pt>
                <c:pt idx="60">
                  <c:v>1670.2739999999999</c:v>
                </c:pt>
                <c:pt idx="61">
                  <c:v>1670.2739999999999</c:v>
                </c:pt>
                <c:pt idx="62">
                  <c:v>1670.2739999999999</c:v>
                </c:pt>
                <c:pt idx="63">
                  <c:v>1670.2739999999999</c:v>
                </c:pt>
                <c:pt idx="64">
                  <c:v>1662.5260000000001</c:v>
                </c:pt>
                <c:pt idx="65">
                  <c:v>1662.5260000000001</c:v>
                </c:pt>
                <c:pt idx="66">
                  <c:v>1662.5260000000001</c:v>
                </c:pt>
                <c:pt idx="67">
                  <c:v>1659.7539999999999</c:v>
                </c:pt>
                <c:pt idx="68">
                  <c:v>1659.7539999999999</c:v>
                </c:pt>
                <c:pt idx="69">
                  <c:v>1651.2539999999999</c:v>
                </c:pt>
                <c:pt idx="70">
                  <c:v>1651.2539999999999</c:v>
                </c:pt>
                <c:pt idx="71">
                  <c:v>1651.2539999999999</c:v>
                </c:pt>
                <c:pt idx="72">
                  <c:v>1646.42</c:v>
                </c:pt>
                <c:pt idx="73">
                  <c:v>1646.42</c:v>
                </c:pt>
                <c:pt idx="74">
                  <c:v>1646.42</c:v>
                </c:pt>
                <c:pt idx="75">
                  <c:v>1646.42</c:v>
                </c:pt>
                <c:pt idx="76">
                  <c:v>1640.182</c:v>
                </c:pt>
                <c:pt idx="77">
                  <c:v>3266.3829999999998</c:v>
                </c:pt>
                <c:pt idx="78">
                  <c:v>3266.3829999999998</c:v>
                </c:pt>
                <c:pt idx="79">
                  <c:v>3266.3829999999998</c:v>
                </c:pt>
                <c:pt idx="80">
                  <c:v>3266.0880000000002</c:v>
                </c:pt>
                <c:pt idx="81">
                  <c:v>3266.0880000000002</c:v>
                </c:pt>
                <c:pt idx="82">
                  <c:v>3272.7240000000002</c:v>
                </c:pt>
                <c:pt idx="83">
                  <c:v>3272.7240000000002</c:v>
                </c:pt>
                <c:pt idx="84">
                  <c:v>3272.7240000000002</c:v>
                </c:pt>
                <c:pt idx="85">
                  <c:v>3272.7240000000002</c:v>
                </c:pt>
                <c:pt idx="86">
                  <c:v>3272.7240000000002</c:v>
                </c:pt>
                <c:pt idx="87">
                  <c:v>3272.7240000000002</c:v>
                </c:pt>
                <c:pt idx="88">
                  <c:v>3260.4079999999999</c:v>
                </c:pt>
                <c:pt idx="89">
                  <c:v>3258.0189999999998</c:v>
                </c:pt>
                <c:pt idx="90">
                  <c:v>3258.0189999999998</c:v>
                </c:pt>
                <c:pt idx="91">
                  <c:v>3258.0189999999998</c:v>
                </c:pt>
                <c:pt idx="92">
                  <c:v>3253.683</c:v>
                </c:pt>
                <c:pt idx="93">
                  <c:v>3253.683</c:v>
                </c:pt>
                <c:pt idx="94">
                  <c:v>3253.683</c:v>
                </c:pt>
                <c:pt idx="95">
                  <c:v>3276.8330000000001</c:v>
                </c:pt>
                <c:pt idx="96">
                  <c:v>3276.8330000000001</c:v>
                </c:pt>
                <c:pt idx="97">
                  <c:v>3276.8330000000001</c:v>
                </c:pt>
                <c:pt idx="98">
                  <c:v>3276.8330000000001</c:v>
                </c:pt>
                <c:pt idx="99">
                  <c:v>3275.2330000000002</c:v>
                </c:pt>
                <c:pt idx="100">
                  <c:v>3275.2330000000002</c:v>
                </c:pt>
                <c:pt idx="101">
                  <c:v>3271.877</c:v>
                </c:pt>
                <c:pt idx="102">
                  <c:v>3271.877</c:v>
                </c:pt>
                <c:pt idx="103">
                  <c:v>3271.877</c:v>
                </c:pt>
                <c:pt idx="104">
                  <c:v>3271.877</c:v>
                </c:pt>
                <c:pt idx="105">
                  <c:v>3271.877</c:v>
                </c:pt>
                <c:pt idx="106">
                  <c:v>3277.6489999999999</c:v>
                </c:pt>
                <c:pt idx="107">
                  <c:v>3277.6489999999999</c:v>
                </c:pt>
                <c:pt idx="108">
                  <c:v>3277.6489999999999</c:v>
                </c:pt>
                <c:pt idx="109">
                  <c:v>3277.6489999999999</c:v>
                </c:pt>
                <c:pt idx="110">
                  <c:v>3277.6489999999999</c:v>
                </c:pt>
                <c:pt idx="111">
                  <c:v>3295.3110000000001</c:v>
                </c:pt>
                <c:pt idx="112">
                  <c:v>3295.3110000000001</c:v>
                </c:pt>
                <c:pt idx="113">
                  <c:v>9886.9220000000005</c:v>
                </c:pt>
                <c:pt idx="114">
                  <c:v>9893.4240000000009</c:v>
                </c:pt>
                <c:pt idx="115">
                  <c:v>9893.4240000000009</c:v>
                </c:pt>
                <c:pt idx="116">
                  <c:v>9901.5750000000007</c:v>
                </c:pt>
                <c:pt idx="117">
                  <c:v>9901.5750000000007</c:v>
                </c:pt>
                <c:pt idx="118">
                  <c:v>9908.7999999999993</c:v>
                </c:pt>
                <c:pt idx="119">
                  <c:v>9908.7999999999993</c:v>
                </c:pt>
                <c:pt idx="120">
                  <c:v>9908.7999999999993</c:v>
                </c:pt>
                <c:pt idx="121">
                  <c:v>9908.7999999999993</c:v>
                </c:pt>
                <c:pt idx="122">
                  <c:v>9908.7999999999993</c:v>
                </c:pt>
                <c:pt idx="123">
                  <c:v>9932.9279999999999</c:v>
                </c:pt>
                <c:pt idx="124">
                  <c:v>9937.768</c:v>
                </c:pt>
                <c:pt idx="125">
                  <c:v>9937.768</c:v>
                </c:pt>
                <c:pt idx="126">
                  <c:v>9937.768</c:v>
                </c:pt>
                <c:pt idx="127">
                  <c:v>9934.8449999999993</c:v>
                </c:pt>
                <c:pt idx="128">
                  <c:v>9934.8449999999993</c:v>
                </c:pt>
                <c:pt idx="129">
                  <c:v>9934.8449999999993</c:v>
                </c:pt>
                <c:pt idx="130">
                  <c:v>9927.3799999999992</c:v>
                </c:pt>
                <c:pt idx="131">
                  <c:v>9927.3799999999992</c:v>
                </c:pt>
                <c:pt idx="132">
                  <c:v>9927.3799999999992</c:v>
                </c:pt>
                <c:pt idx="133">
                  <c:v>9927.3799999999992</c:v>
                </c:pt>
                <c:pt idx="134">
                  <c:v>9927.3799999999992</c:v>
                </c:pt>
                <c:pt idx="135">
                  <c:v>9937.4969999999994</c:v>
                </c:pt>
                <c:pt idx="136">
                  <c:v>9937.4969999999994</c:v>
                </c:pt>
                <c:pt idx="137">
                  <c:v>9937.768</c:v>
                </c:pt>
                <c:pt idx="138">
                  <c:v>9949.4699999999993</c:v>
                </c:pt>
                <c:pt idx="139">
                  <c:v>9949.4699999999993</c:v>
                </c:pt>
                <c:pt idx="140">
                  <c:v>9949.4699999999993</c:v>
                </c:pt>
                <c:pt idx="141">
                  <c:v>9951.0570000000007</c:v>
                </c:pt>
                <c:pt idx="142">
                  <c:v>9949.4699999999993</c:v>
                </c:pt>
                <c:pt idx="143">
                  <c:v>9949.4699999999993</c:v>
                </c:pt>
                <c:pt idx="144">
                  <c:v>9949.4699999999993</c:v>
                </c:pt>
                <c:pt idx="145">
                  <c:v>9949.4699999999993</c:v>
                </c:pt>
                <c:pt idx="146">
                  <c:v>9993.19</c:v>
                </c:pt>
                <c:pt idx="147">
                  <c:v>9994.36</c:v>
                </c:pt>
                <c:pt idx="148">
                  <c:v>9994.36</c:v>
                </c:pt>
                <c:pt idx="149">
                  <c:v>9993.1919999999991</c:v>
                </c:pt>
                <c:pt idx="150">
                  <c:v>10018.84</c:v>
                </c:pt>
                <c:pt idx="151">
                  <c:v>10018.84</c:v>
                </c:pt>
                <c:pt idx="152">
                  <c:v>10018.84</c:v>
                </c:pt>
                <c:pt idx="153">
                  <c:v>10040.86</c:v>
                </c:pt>
                <c:pt idx="154">
                  <c:v>10040.86</c:v>
                </c:pt>
                <c:pt idx="155">
                  <c:v>10040.86</c:v>
                </c:pt>
                <c:pt idx="156">
                  <c:v>10063.120000000001</c:v>
                </c:pt>
                <c:pt idx="157">
                  <c:v>10063.120000000001</c:v>
                </c:pt>
                <c:pt idx="158">
                  <c:v>10082.219999999999</c:v>
                </c:pt>
                <c:pt idx="159">
                  <c:v>10212.65</c:v>
                </c:pt>
                <c:pt idx="160">
                  <c:v>10212.65</c:v>
                </c:pt>
                <c:pt idx="161">
                  <c:v>10212.65</c:v>
                </c:pt>
                <c:pt idx="162">
                  <c:v>10558.25</c:v>
                </c:pt>
                <c:pt idx="163">
                  <c:v>10558.25</c:v>
                </c:pt>
                <c:pt idx="164">
                  <c:v>10558.25</c:v>
                </c:pt>
                <c:pt idx="165">
                  <c:v>10572.13</c:v>
                </c:pt>
                <c:pt idx="166">
                  <c:v>10572.13</c:v>
                </c:pt>
                <c:pt idx="167">
                  <c:v>10572.13</c:v>
                </c:pt>
                <c:pt idx="168">
                  <c:v>10572.13</c:v>
                </c:pt>
                <c:pt idx="169">
                  <c:v>10572.13</c:v>
                </c:pt>
                <c:pt idx="170">
                  <c:v>10599.92</c:v>
                </c:pt>
                <c:pt idx="171">
                  <c:v>10605.92</c:v>
                </c:pt>
                <c:pt idx="172">
                  <c:v>10605.92</c:v>
                </c:pt>
                <c:pt idx="173">
                  <c:v>10605.92</c:v>
                </c:pt>
                <c:pt idx="174">
                  <c:v>10600.81</c:v>
                </c:pt>
                <c:pt idx="175">
                  <c:v>10600.81</c:v>
                </c:pt>
                <c:pt idx="176">
                  <c:v>10600.81</c:v>
                </c:pt>
                <c:pt idx="177">
                  <c:v>10566.16</c:v>
                </c:pt>
                <c:pt idx="178">
                  <c:v>10566.16</c:v>
                </c:pt>
                <c:pt idx="179">
                  <c:v>10566.16</c:v>
                </c:pt>
                <c:pt idx="180">
                  <c:v>10566.16</c:v>
                </c:pt>
                <c:pt idx="181">
                  <c:v>10566.16</c:v>
                </c:pt>
                <c:pt idx="182">
                  <c:v>10423.42</c:v>
                </c:pt>
                <c:pt idx="183">
                  <c:v>10398.4</c:v>
                </c:pt>
                <c:pt idx="184">
                  <c:v>10398.4</c:v>
                </c:pt>
                <c:pt idx="185">
                  <c:v>10398.4</c:v>
                </c:pt>
                <c:pt idx="186">
                  <c:v>10323.36</c:v>
                </c:pt>
                <c:pt idx="187">
                  <c:v>10323.36</c:v>
                </c:pt>
                <c:pt idx="188">
                  <c:v>10323.36</c:v>
                </c:pt>
                <c:pt idx="189">
                  <c:v>10323.36</c:v>
                </c:pt>
                <c:pt idx="190">
                  <c:v>10308.1</c:v>
                </c:pt>
                <c:pt idx="191">
                  <c:v>10308.1</c:v>
                </c:pt>
                <c:pt idx="192">
                  <c:v>10308.1</c:v>
                </c:pt>
                <c:pt idx="193">
                  <c:v>10308.1</c:v>
                </c:pt>
                <c:pt idx="194">
                  <c:v>10283.129999999999</c:v>
                </c:pt>
                <c:pt idx="195">
                  <c:v>10283.129999999999</c:v>
                </c:pt>
                <c:pt idx="196">
                  <c:v>10288.16</c:v>
                </c:pt>
                <c:pt idx="197">
                  <c:v>10288.16</c:v>
                </c:pt>
                <c:pt idx="198">
                  <c:v>10288.16</c:v>
                </c:pt>
                <c:pt idx="199">
                  <c:v>10246.17</c:v>
                </c:pt>
                <c:pt idx="200">
                  <c:v>10246.17</c:v>
                </c:pt>
                <c:pt idx="201">
                  <c:v>10246.17</c:v>
                </c:pt>
                <c:pt idx="202">
                  <c:v>10106.209999999999</c:v>
                </c:pt>
                <c:pt idx="203">
                  <c:v>10106.209999999999</c:v>
                </c:pt>
                <c:pt idx="204">
                  <c:v>10106.209999999999</c:v>
                </c:pt>
                <c:pt idx="205">
                  <c:v>10106.209999999999</c:v>
                </c:pt>
                <c:pt idx="206">
                  <c:v>9985.6659999999993</c:v>
                </c:pt>
                <c:pt idx="207">
                  <c:v>9967.3979999999992</c:v>
                </c:pt>
                <c:pt idx="208">
                  <c:v>9967.3979999999992</c:v>
                </c:pt>
                <c:pt idx="209">
                  <c:v>9967.3979999999992</c:v>
                </c:pt>
                <c:pt idx="210">
                  <c:v>9948.0239999999994</c:v>
                </c:pt>
                <c:pt idx="211">
                  <c:v>9948.0239999999994</c:v>
                </c:pt>
                <c:pt idx="212">
                  <c:v>9948.0239999999994</c:v>
                </c:pt>
                <c:pt idx="213">
                  <c:v>9955.4560000000001</c:v>
                </c:pt>
                <c:pt idx="214">
                  <c:v>9955.4560000000001</c:v>
                </c:pt>
                <c:pt idx="215">
                  <c:v>9955.4560000000001</c:v>
                </c:pt>
                <c:pt idx="216">
                  <c:v>9955.4560000000001</c:v>
                </c:pt>
                <c:pt idx="217">
                  <c:v>10560.42</c:v>
                </c:pt>
                <c:pt idx="218">
                  <c:v>10560.42</c:v>
                </c:pt>
                <c:pt idx="219">
                  <c:v>10589.57</c:v>
                </c:pt>
                <c:pt idx="220">
                  <c:v>10589.57</c:v>
                </c:pt>
                <c:pt idx="221">
                  <c:v>10589.57</c:v>
                </c:pt>
                <c:pt idx="222">
                  <c:v>10626.84</c:v>
                </c:pt>
                <c:pt idx="223">
                  <c:v>10626.84</c:v>
                </c:pt>
                <c:pt idx="224">
                  <c:v>10626.84</c:v>
                </c:pt>
                <c:pt idx="225">
                  <c:v>10647.49</c:v>
                </c:pt>
                <c:pt idx="226">
                  <c:v>10647.49</c:v>
                </c:pt>
                <c:pt idx="227">
                  <c:v>10647.49</c:v>
                </c:pt>
                <c:pt idx="228">
                  <c:v>10647.49</c:v>
                </c:pt>
                <c:pt idx="229">
                  <c:v>10669.82</c:v>
                </c:pt>
                <c:pt idx="230">
                  <c:v>10669.82</c:v>
                </c:pt>
                <c:pt idx="231">
                  <c:v>10676.52</c:v>
                </c:pt>
                <c:pt idx="232">
                  <c:v>10676.52</c:v>
                </c:pt>
                <c:pt idx="233">
                  <c:v>10676.52</c:v>
                </c:pt>
                <c:pt idx="234">
                  <c:v>10691.22</c:v>
                </c:pt>
                <c:pt idx="235">
                  <c:v>10691.22</c:v>
                </c:pt>
                <c:pt idx="236">
                  <c:v>10691.22</c:v>
                </c:pt>
                <c:pt idx="237">
                  <c:v>10654.72</c:v>
                </c:pt>
                <c:pt idx="238">
                  <c:v>10654.72</c:v>
                </c:pt>
                <c:pt idx="239">
                  <c:v>10654.72</c:v>
                </c:pt>
                <c:pt idx="240">
                  <c:v>10654.72</c:v>
                </c:pt>
                <c:pt idx="241">
                  <c:v>10618.49</c:v>
                </c:pt>
                <c:pt idx="242">
                  <c:v>10619.35</c:v>
                </c:pt>
                <c:pt idx="243">
                  <c:v>10619.35</c:v>
                </c:pt>
                <c:pt idx="244">
                  <c:v>10605.45</c:v>
                </c:pt>
                <c:pt idx="245">
                  <c:v>10605.45</c:v>
                </c:pt>
                <c:pt idx="246">
                  <c:v>10605.45</c:v>
                </c:pt>
                <c:pt idx="247">
                  <c:v>10600.34</c:v>
                </c:pt>
                <c:pt idx="248">
                  <c:v>10600.34</c:v>
                </c:pt>
                <c:pt idx="249">
                  <c:v>10557.35</c:v>
                </c:pt>
                <c:pt idx="250">
                  <c:v>10557.35</c:v>
                </c:pt>
                <c:pt idx="251">
                  <c:v>10557.35</c:v>
                </c:pt>
                <c:pt idx="252">
                  <c:v>10557.35</c:v>
                </c:pt>
                <c:pt idx="253">
                  <c:v>10557.35</c:v>
                </c:pt>
                <c:pt idx="254">
                  <c:v>10578.86</c:v>
                </c:pt>
                <c:pt idx="255">
                  <c:v>10578.86</c:v>
                </c:pt>
                <c:pt idx="256">
                  <c:v>10587.32</c:v>
                </c:pt>
                <c:pt idx="257">
                  <c:v>10595.31</c:v>
                </c:pt>
                <c:pt idx="258">
                  <c:v>10595.31</c:v>
                </c:pt>
                <c:pt idx="259">
                  <c:v>10558.84</c:v>
                </c:pt>
                <c:pt idx="260">
                  <c:v>10558.84</c:v>
                </c:pt>
                <c:pt idx="261">
                  <c:v>10558.84</c:v>
                </c:pt>
                <c:pt idx="262">
                  <c:v>10486.3</c:v>
                </c:pt>
                <c:pt idx="263">
                  <c:v>10486.3</c:v>
                </c:pt>
                <c:pt idx="264">
                  <c:v>10486.3</c:v>
                </c:pt>
                <c:pt idx="265">
                  <c:v>10486.3</c:v>
                </c:pt>
                <c:pt idx="266">
                  <c:v>10370.92</c:v>
                </c:pt>
                <c:pt idx="267">
                  <c:v>10370.92</c:v>
                </c:pt>
                <c:pt idx="268">
                  <c:v>10340.120000000001</c:v>
                </c:pt>
                <c:pt idx="269">
                  <c:v>10340.120000000001</c:v>
                </c:pt>
                <c:pt idx="270">
                  <c:v>10340.120000000001</c:v>
                </c:pt>
                <c:pt idx="271">
                  <c:v>10183.780000000001</c:v>
                </c:pt>
                <c:pt idx="272">
                  <c:v>10183.780000000001</c:v>
                </c:pt>
                <c:pt idx="273">
                  <c:v>10117.370000000001</c:v>
                </c:pt>
                <c:pt idx="274">
                  <c:v>10117.370000000001</c:v>
                </c:pt>
                <c:pt idx="275">
                  <c:v>10117.370000000001</c:v>
                </c:pt>
                <c:pt idx="276">
                  <c:v>10117.370000000001</c:v>
                </c:pt>
                <c:pt idx="277">
                  <c:v>10117.370000000001</c:v>
                </c:pt>
                <c:pt idx="278">
                  <c:v>10025</c:v>
                </c:pt>
                <c:pt idx="279">
                  <c:v>10027.76</c:v>
                </c:pt>
                <c:pt idx="280">
                  <c:v>10027.76</c:v>
                </c:pt>
                <c:pt idx="281">
                  <c:v>10027.76</c:v>
                </c:pt>
                <c:pt idx="282">
                  <c:v>10033.9</c:v>
                </c:pt>
                <c:pt idx="283">
                  <c:v>10033.9</c:v>
                </c:pt>
                <c:pt idx="284">
                  <c:v>10033.9</c:v>
                </c:pt>
                <c:pt idx="285">
                  <c:v>10042.19</c:v>
                </c:pt>
                <c:pt idx="286">
                  <c:v>10042.19</c:v>
                </c:pt>
                <c:pt idx="287">
                  <c:v>10042.19</c:v>
                </c:pt>
                <c:pt idx="288">
                  <c:v>10042.19</c:v>
                </c:pt>
                <c:pt idx="289">
                  <c:v>10042.19</c:v>
                </c:pt>
                <c:pt idx="290">
                  <c:v>10067.49</c:v>
                </c:pt>
                <c:pt idx="291">
                  <c:v>10075.93</c:v>
                </c:pt>
                <c:pt idx="292">
                  <c:v>10075.93</c:v>
                </c:pt>
                <c:pt idx="293">
                  <c:v>10075.93</c:v>
                </c:pt>
                <c:pt idx="294">
                  <c:v>10096.43</c:v>
                </c:pt>
                <c:pt idx="295">
                  <c:v>10096.43</c:v>
                </c:pt>
                <c:pt idx="296">
                  <c:v>10096.43</c:v>
                </c:pt>
                <c:pt idx="297">
                  <c:v>10109.24</c:v>
                </c:pt>
                <c:pt idx="298">
                  <c:v>10109.24</c:v>
                </c:pt>
                <c:pt idx="299">
                  <c:v>10109.24</c:v>
                </c:pt>
                <c:pt idx="300">
                  <c:v>10109.24</c:v>
                </c:pt>
                <c:pt idx="301">
                  <c:v>10109.24</c:v>
                </c:pt>
                <c:pt idx="302">
                  <c:v>9285.1299999999992</c:v>
                </c:pt>
                <c:pt idx="303">
                  <c:v>9195.6550000000007</c:v>
                </c:pt>
                <c:pt idx="304">
                  <c:v>9195.6550000000007</c:v>
                </c:pt>
                <c:pt idx="305">
                  <c:v>9195.6550000000007</c:v>
                </c:pt>
                <c:pt idx="306">
                  <c:v>8961.2309999999998</c:v>
                </c:pt>
                <c:pt idx="307">
                  <c:v>8961.2309999999998</c:v>
                </c:pt>
                <c:pt idx="308">
                  <c:v>8961.2309999999998</c:v>
                </c:pt>
                <c:pt idx="309">
                  <c:v>8846.3889999999992</c:v>
                </c:pt>
                <c:pt idx="310">
                  <c:v>8846.3889999999992</c:v>
                </c:pt>
                <c:pt idx="311">
                  <c:v>8846.3889999999992</c:v>
                </c:pt>
                <c:pt idx="312">
                  <c:v>8846.3889999999992</c:v>
                </c:pt>
                <c:pt idx="313">
                  <c:v>8724.7819999999992</c:v>
                </c:pt>
                <c:pt idx="314">
                  <c:v>8708.7119999999995</c:v>
                </c:pt>
                <c:pt idx="315">
                  <c:v>8683.9619999999995</c:v>
                </c:pt>
                <c:pt idx="316">
                  <c:v>8683.9619999999995</c:v>
                </c:pt>
                <c:pt idx="317">
                  <c:v>8683.9619999999995</c:v>
                </c:pt>
                <c:pt idx="318">
                  <c:v>8657.9449999999997</c:v>
                </c:pt>
                <c:pt idx="319">
                  <c:v>8657.9449999999997</c:v>
                </c:pt>
                <c:pt idx="320">
                  <c:v>8657.9449999999997</c:v>
                </c:pt>
                <c:pt idx="321">
                  <c:v>8657.9449999999997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690544"/>
        <c:axId val="564690936"/>
      </c:scatterChart>
      <c:valAx>
        <c:axId val="564690544"/>
        <c:scaling>
          <c:orientation val="minMax"/>
          <c:max val="41600"/>
          <c:min val="31776"/>
        </c:scaling>
        <c:delete val="0"/>
        <c:axPos val="b"/>
        <c:majorGridlines/>
        <c:numFmt formatCode="[$-409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690936"/>
        <c:crosses val="autoZero"/>
        <c:crossBetween val="midCat"/>
        <c:majorUnit val="365.25"/>
      </c:valAx>
      <c:valAx>
        <c:axId val="56469093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4690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5096021142937722"/>
          <c:y val="3.190378599935282E-2"/>
          <c:w val="0.23343731946851526"/>
          <c:h val="0.1416402401754575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Rep/(cap. increase) ($ billion)</a:t>
            </a:r>
          </a:p>
        </c:rich>
      </c:tx>
      <c:layout>
        <c:manualLayout>
          <c:xMode val="edge"/>
          <c:yMode val="edge"/>
          <c:x val="6.8786782934628837E-2"/>
          <c:y val="4.1853809369719198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6.7691629787152513E-2"/>
          <c:y val="5.5555555555555552E-2"/>
          <c:w val="0.91268421603278793"/>
          <c:h val="0.66937862418360494"/>
        </c:manualLayout>
      </c:layout>
      <c:scatterChart>
        <c:scatterStyle val="lineMarker"/>
        <c:varyColors val="0"/>
        <c:ser>
          <c:idx val="1"/>
          <c:order val="0"/>
          <c:tx>
            <c:strRef>
              <c:f>GEmonth!$F$2</c:f>
              <c:strCache>
                <c:ptCount val="1"/>
                <c:pt idx="0">
                  <c:v>General Electric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GEmonth!$A$4:$A$325</c:f>
              <c:numCache>
                <c:formatCode>m/d/yyyy</c:formatCode>
                <c:ptCount val="322"/>
                <c:pt idx="0">
                  <c:v>31776</c:v>
                </c:pt>
                <c:pt idx="1">
                  <c:v>31807</c:v>
                </c:pt>
                <c:pt idx="2">
                  <c:v>31835</c:v>
                </c:pt>
                <c:pt idx="3">
                  <c:v>31864</c:v>
                </c:pt>
                <c:pt idx="4">
                  <c:v>31896</c:v>
                </c:pt>
                <c:pt idx="5">
                  <c:v>31927</c:v>
                </c:pt>
                <c:pt idx="6">
                  <c:v>31955</c:v>
                </c:pt>
                <c:pt idx="7">
                  <c:v>31988</c:v>
                </c:pt>
                <c:pt idx="8">
                  <c:v>32018</c:v>
                </c:pt>
                <c:pt idx="9">
                  <c:v>32049</c:v>
                </c:pt>
                <c:pt idx="10">
                  <c:v>32080</c:v>
                </c:pt>
                <c:pt idx="11">
                  <c:v>32109</c:v>
                </c:pt>
                <c:pt idx="12">
                  <c:v>32141</c:v>
                </c:pt>
                <c:pt idx="13">
                  <c:v>32172</c:v>
                </c:pt>
                <c:pt idx="14">
                  <c:v>32200</c:v>
                </c:pt>
                <c:pt idx="15">
                  <c:v>32232</c:v>
                </c:pt>
                <c:pt idx="16">
                  <c:v>32262</c:v>
                </c:pt>
                <c:pt idx="17">
                  <c:v>32291</c:v>
                </c:pt>
                <c:pt idx="18">
                  <c:v>32323</c:v>
                </c:pt>
                <c:pt idx="19">
                  <c:v>32354</c:v>
                </c:pt>
                <c:pt idx="20">
                  <c:v>32385</c:v>
                </c:pt>
                <c:pt idx="21">
                  <c:v>32415</c:v>
                </c:pt>
                <c:pt idx="22">
                  <c:v>32445</c:v>
                </c:pt>
                <c:pt idx="23">
                  <c:v>32476</c:v>
                </c:pt>
                <c:pt idx="24">
                  <c:v>32507</c:v>
                </c:pt>
                <c:pt idx="25">
                  <c:v>32536</c:v>
                </c:pt>
                <c:pt idx="26">
                  <c:v>32564</c:v>
                </c:pt>
                <c:pt idx="27">
                  <c:v>32597</c:v>
                </c:pt>
                <c:pt idx="28">
                  <c:v>32627</c:v>
                </c:pt>
                <c:pt idx="29">
                  <c:v>32658</c:v>
                </c:pt>
                <c:pt idx="30">
                  <c:v>32688</c:v>
                </c:pt>
                <c:pt idx="31">
                  <c:v>32718</c:v>
                </c:pt>
                <c:pt idx="32">
                  <c:v>32750</c:v>
                </c:pt>
                <c:pt idx="33">
                  <c:v>32780</c:v>
                </c:pt>
                <c:pt idx="34">
                  <c:v>32809</c:v>
                </c:pt>
                <c:pt idx="35">
                  <c:v>32841</c:v>
                </c:pt>
                <c:pt idx="36">
                  <c:v>32872</c:v>
                </c:pt>
                <c:pt idx="37">
                  <c:v>32903</c:v>
                </c:pt>
                <c:pt idx="38">
                  <c:v>32931</c:v>
                </c:pt>
                <c:pt idx="39">
                  <c:v>32962</c:v>
                </c:pt>
                <c:pt idx="40">
                  <c:v>32991</c:v>
                </c:pt>
                <c:pt idx="41">
                  <c:v>33023</c:v>
                </c:pt>
                <c:pt idx="42">
                  <c:v>33053</c:v>
                </c:pt>
                <c:pt idx="43">
                  <c:v>33082</c:v>
                </c:pt>
                <c:pt idx="44">
                  <c:v>33115</c:v>
                </c:pt>
                <c:pt idx="45">
                  <c:v>33145</c:v>
                </c:pt>
                <c:pt idx="46">
                  <c:v>33176</c:v>
                </c:pt>
                <c:pt idx="47">
                  <c:v>33206</c:v>
                </c:pt>
                <c:pt idx="48">
                  <c:v>33236</c:v>
                </c:pt>
                <c:pt idx="49">
                  <c:v>33268</c:v>
                </c:pt>
                <c:pt idx="50">
                  <c:v>33296</c:v>
                </c:pt>
                <c:pt idx="51">
                  <c:v>33327</c:v>
                </c:pt>
                <c:pt idx="52">
                  <c:v>33355</c:v>
                </c:pt>
                <c:pt idx="53">
                  <c:v>33388</c:v>
                </c:pt>
                <c:pt idx="54">
                  <c:v>33418</c:v>
                </c:pt>
                <c:pt idx="55">
                  <c:v>33449</c:v>
                </c:pt>
                <c:pt idx="56">
                  <c:v>33480</c:v>
                </c:pt>
                <c:pt idx="57">
                  <c:v>33509</c:v>
                </c:pt>
                <c:pt idx="58">
                  <c:v>33541</c:v>
                </c:pt>
                <c:pt idx="59">
                  <c:v>33571</c:v>
                </c:pt>
                <c:pt idx="60">
                  <c:v>33600</c:v>
                </c:pt>
                <c:pt idx="61">
                  <c:v>33633</c:v>
                </c:pt>
                <c:pt idx="62">
                  <c:v>33662</c:v>
                </c:pt>
                <c:pt idx="63">
                  <c:v>33691</c:v>
                </c:pt>
                <c:pt idx="64">
                  <c:v>33723</c:v>
                </c:pt>
                <c:pt idx="65">
                  <c:v>33754</c:v>
                </c:pt>
                <c:pt idx="66">
                  <c:v>33782</c:v>
                </c:pt>
                <c:pt idx="67">
                  <c:v>33815</c:v>
                </c:pt>
                <c:pt idx="68">
                  <c:v>33845</c:v>
                </c:pt>
                <c:pt idx="69">
                  <c:v>33876</c:v>
                </c:pt>
                <c:pt idx="70">
                  <c:v>33907</c:v>
                </c:pt>
                <c:pt idx="71">
                  <c:v>33936</c:v>
                </c:pt>
                <c:pt idx="72">
                  <c:v>33968</c:v>
                </c:pt>
                <c:pt idx="73">
                  <c:v>33999</c:v>
                </c:pt>
                <c:pt idx="74">
                  <c:v>34027</c:v>
                </c:pt>
                <c:pt idx="75">
                  <c:v>34058</c:v>
                </c:pt>
                <c:pt idx="76">
                  <c:v>34088</c:v>
                </c:pt>
                <c:pt idx="77">
                  <c:v>34118</c:v>
                </c:pt>
                <c:pt idx="78">
                  <c:v>34149</c:v>
                </c:pt>
                <c:pt idx="79">
                  <c:v>34180</c:v>
                </c:pt>
                <c:pt idx="80">
                  <c:v>34209</c:v>
                </c:pt>
                <c:pt idx="81">
                  <c:v>34241</c:v>
                </c:pt>
                <c:pt idx="82">
                  <c:v>34272</c:v>
                </c:pt>
                <c:pt idx="83">
                  <c:v>34300</c:v>
                </c:pt>
                <c:pt idx="84">
                  <c:v>34333</c:v>
                </c:pt>
                <c:pt idx="85">
                  <c:v>34363</c:v>
                </c:pt>
                <c:pt idx="86">
                  <c:v>34391</c:v>
                </c:pt>
                <c:pt idx="87">
                  <c:v>34423</c:v>
                </c:pt>
                <c:pt idx="88">
                  <c:v>34453</c:v>
                </c:pt>
                <c:pt idx="89">
                  <c:v>34482</c:v>
                </c:pt>
                <c:pt idx="90">
                  <c:v>34514</c:v>
                </c:pt>
                <c:pt idx="91">
                  <c:v>34545</c:v>
                </c:pt>
                <c:pt idx="92">
                  <c:v>34576</c:v>
                </c:pt>
                <c:pt idx="93">
                  <c:v>34606</c:v>
                </c:pt>
                <c:pt idx="94">
                  <c:v>34636</c:v>
                </c:pt>
                <c:pt idx="95">
                  <c:v>34667</c:v>
                </c:pt>
                <c:pt idx="96">
                  <c:v>34698</c:v>
                </c:pt>
                <c:pt idx="97">
                  <c:v>34727</c:v>
                </c:pt>
                <c:pt idx="98">
                  <c:v>34755</c:v>
                </c:pt>
                <c:pt idx="99">
                  <c:v>34788</c:v>
                </c:pt>
                <c:pt idx="100">
                  <c:v>34818</c:v>
                </c:pt>
                <c:pt idx="101">
                  <c:v>34849</c:v>
                </c:pt>
                <c:pt idx="102">
                  <c:v>34879</c:v>
                </c:pt>
                <c:pt idx="103">
                  <c:v>34909</c:v>
                </c:pt>
                <c:pt idx="104">
                  <c:v>34941</c:v>
                </c:pt>
                <c:pt idx="105">
                  <c:v>34971</c:v>
                </c:pt>
                <c:pt idx="106">
                  <c:v>35000</c:v>
                </c:pt>
                <c:pt idx="107">
                  <c:v>35032</c:v>
                </c:pt>
                <c:pt idx="108">
                  <c:v>35063</c:v>
                </c:pt>
                <c:pt idx="109">
                  <c:v>35094</c:v>
                </c:pt>
                <c:pt idx="110">
                  <c:v>35123</c:v>
                </c:pt>
                <c:pt idx="111">
                  <c:v>35154</c:v>
                </c:pt>
                <c:pt idx="112">
                  <c:v>35182</c:v>
                </c:pt>
                <c:pt idx="113">
                  <c:v>35215</c:v>
                </c:pt>
                <c:pt idx="114">
                  <c:v>35245</c:v>
                </c:pt>
                <c:pt idx="115">
                  <c:v>35276</c:v>
                </c:pt>
                <c:pt idx="116">
                  <c:v>35307</c:v>
                </c:pt>
                <c:pt idx="117">
                  <c:v>35336</c:v>
                </c:pt>
                <c:pt idx="118">
                  <c:v>35368</c:v>
                </c:pt>
                <c:pt idx="119">
                  <c:v>35398</c:v>
                </c:pt>
                <c:pt idx="120">
                  <c:v>35427</c:v>
                </c:pt>
                <c:pt idx="121">
                  <c:v>35460</c:v>
                </c:pt>
                <c:pt idx="122">
                  <c:v>35488</c:v>
                </c:pt>
                <c:pt idx="123">
                  <c:v>35518</c:v>
                </c:pt>
                <c:pt idx="124">
                  <c:v>35549</c:v>
                </c:pt>
                <c:pt idx="125">
                  <c:v>35580</c:v>
                </c:pt>
                <c:pt idx="126">
                  <c:v>35609</c:v>
                </c:pt>
                <c:pt idx="127">
                  <c:v>35641</c:v>
                </c:pt>
                <c:pt idx="128">
                  <c:v>35672</c:v>
                </c:pt>
                <c:pt idx="129">
                  <c:v>35700</c:v>
                </c:pt>
                <c:pt idx="130">
                  <c:v>35733</c:v>
                </c:pt>
                <c:pt idx="131">
                  <c:v>35763</c:v>
                </c:pt>
                <c:pt idx="132">
                  <c:v>35794</c:v>
                </c:pt>
                <c:pt idx="133">
                  <c:v>35825</c:v>
                </c:pt>
                <c:pt idx="134">
                  <c:v>35853</c:v>
                </c:pt>
                <c:pt idx="135">
                  <c:v>35882</c:v>
                </c:pt>
                <c:pt idx="136">
                  <c:v>35914</c:v>
                </c:pt>
                <c:pt idx="137">
                  <c:v>35945</c:v>
                </c:pt>
                <c:pt idx="138">
                  <c:v>35973</c:v>
                </c:pt>
                <c:pt idx="139">
                  <c:v>36006</c:v>
                </c:pt>
                <c:pt idx="140">
                  <c:v>36036</c:v>
                </c:pt>
                <c:pt idx="141">
                  <c:v>36067</c:v>
                </c:pt>
                <c:pt idx="142">
                  <c:v>36098</c:v>
                </c:pt>
                <c:pt idx="143">
                  <c:v>36127</c:v>
                </c:pt>
                <c:pt idx="144">
                  <c:v>36159</c:v>
                </c:pt>
                <c:pt idx="145">
                  <c:v>36190</c:v>
                </c:pt>
                <c:pt idx="146">
                  <c:v>36218</c:v>
                </c:pt>
                <c:pt idx="147">
                  <c:v>36249</c:v>
                </c:pt>
                <c:pt idx="148">
                  <c:v>36279</c:v>
                </c:pt>
                <c:pt idx="149">
                  <c:v>36309</c:v>
                </c:pt>
                <c:pt idx="150">
                  <c:v>36340</c:v>
                </c:pt>
                <c:pt idx="151">
                  <c:v>36371</c:v>
                </c:pt>
                <c:pt idx="152">
                  <c:v>36400</c:v>
                </c:pt>
                <c:pt idx="153">
                  <c:v>36432</c:v>
                </c:pt>
                <c:pt idx="154">
                  <c:v>36463</c:v>
                </c:pt>
                <c:pt idx="155">
                  <c:v>36491</c:v>
                </c:pt>
                <c:pt idx="156">
                  <c:v>36524</c:v>
                </c:pt>
                <c:pt idx="157">
                  <c:v>36554</c:v>
                </c:pt>
                <c:pt idx="158">
                  <c:v>36582</c:v>
                </c:pt>
                <c:pt idx="159">
                  <c:v>36615</c:v>
                </c:pt>
                <c:pt idx="160">
                  <c:v>36645</c:v>
                </c:pt>
                <c:pt idx="161">
                  <c:v>36676</c:v>
                </c:pt>
                <c:pt idx="162">
                  <c:v>36706</c:v>
                </c:pt>
                <c:pt idx="163">
                  <c:v>36736</c:v>
                </c:pt>
                <c:pt idx="164">
                  <c:v>36768</c:v>
                </c:pt>
                <c:pt idx="165">
                  <c:v>36798</c:v>
                </c:pt>
                <c:pt idx="166">
                  <c:v>36827</c:v>
                </c:pt>
                <c:pt idx="167">
                  <c:v>36859</c:v>
                </c:pt>
                <c:pt idx="168">
                  <c:v>36890</c:v>
                </c:pt>
                <c:pt idx="169">
                  <c:v>36921</c:v>
                </c:pt>
                <c:pt idx="170">
                  <c:v>36949</c:v>
                </c:pt>
                <c:pt idx="171">
                  <c:v>36980</c:v>
                </c:pt>
                <c:pt idx="172">
                  <c:v>37009</c:v>
                </c:pt>
                <c:pt idx="173">
                  <c:v>37041</c:v>
                </c:pt>
                <c:pt idx="174">
                  <c:v>37071</c:v>
                </c:pt>
                <c:pt idx="175">
                  <c:v>37100</c:v>
                </c:pt>
                <c:pt idx="176">
                  <c:v>37133</c:v>
                </c:pt>
                <c:pt idx="177">
                  <c:v>37163</c:v>
                </c:pt>
                <c:pt idx="178">
                  <c:v>37194</c:v>
                </c:pt>
                <c:pt idx="179">
                  <c:v>37224</c:v>
                </c:pt>
                <c:pt idx="180">
                  <c:v>37254</c:v>
                </c:pt>
                <c:pt idx="181">
                  <c:v>37286</c:v>
                </c:pt>
                <c:pt idx="182">
                  <c:v>37314</c:v>
                </c:pt>
                <c:pt idx="183">
                  <c:v>37345</c:v>
                </c:pt>
                <c:pt idx="184">
                  <c:v>37373</c:v>
                </c:pt>
                <c:pt idx="185">
                  <c:v>37406</c:v>
                </c:pt>
                <c:pt idx="186">
                  <c:v>37436</c:v>
                </c:pt>
                <c:pt idx="187">
                  <c:v>37467</c:v>
                </c:pt>
                <c:pt idx="188">
                  <c:v>37498</c:v>
                </c:pt>
                <c:pt idx="189">
                  <c:v>37527</c:v>
                </c:pt>
                <c:pt idx="190">
                  <c:v>37559</c:v>
                </c:pt>
                <c:pt idx="191">
                  <c:v>37589</c:v>
                </c:pt>
                <c:pt idx="192">
                  <c:v>37618</c:v>
                </c:pt>
                <c:pt idx="193">
                  <c:v>37651</c:v>
                </c:pt>
                <c:pt idx="194">
                  <c:v>37679</c:v>
                </c:pt>
                <c:pt idx="195">
                  <c:v>37709</c:v>
                </c:pt>
                <c:pt idx="196">
                  <c:v>37740</c:v>
                </c:pt>
                <c:pt idx="197">
                  <c:v>37771</c:v>
                </c:pt>
                <c:pt idx="198">
                  <c:v>37800</c:v>
                </c:pt>
                <c:pt idx="199">
                  <c:v>37832</c:v>
                </c:pt>
                <c:pt idx="200">
                  <c:v>37863</c:v>
                </c:pt>
                <c:pt idx="201">
                  <c:v>37891</c:v>
                </c:pt>
                <c:pt idx="202">
                  <c:v>37924</c:v>
                </c:pt>
                <c:pt idx="203">
                  <c:v>37954</c:v>
                </c:pt>
                <c:pt idx="204">
                  <c:v>37985</c:v>
                </c:pt>
                <c:pt idx="205">
                  <c:v>38016</c:v>
                </c:pt>
                <c:pt idx="206">
                  <c:v>38045</c:v>
                </c:pt>
                <c:pt idx="207">
                  <c:v>38076</c:v>
                </c:pt>
                <c:pt idx="208">
                  <c:v>38106</c:v>
                </c:pt>
                <c:pt idx="209">
                  <c:v>38136</c:v>
                </c:pt>
                <c:pt idx="210">
                  <c:v>38167</c:v>
                </c:pt>
                <c:pt idx="211">
                  <c:v>38198</c:v>
                </c:pt>
                <c:pt idx="212">
                  <c:v>38227</c:v>
                </c:pt>
                <c:pt idx="213">
                  <c:v>38259</c:v>
                </c:pt>
                <c:pt idx="214">
                  <c:v>38290</c:v>
                </c:pt>
                <c:pt idx="215">
                  <c:v>38318</c:v>
                </c:pt>
                <c:pt idx="216">
                  <c:v>38351</c:v>
                </c:pt>
                <c:pt idx="217">
                  <c:v>38381</c:v>
                </c:pt>
                <c:pt idx="218">
                  <c:v>38409</c:v>
                </c:pt>
                <c:pt idx="219">
                  <c:v>38441</c:v>
                </c:pt>
                <c:pt idx="220">
                  <c:v>38471</c:v>
                </c:pt>
                <c:pt idx="221">
                  <c:v>38500</c:v>
                </c:pt>
                <c:pt idx="222">
                  <c:v>38532</c:v>
                </c:pt>
                <c:pt idx="223">
                  <c:v>38563</c:v>
                </c:pt>
                <c:pt idx="224">
                  <c:v>38594</c:v>
                </c:pt>
                <c:pt idx="225">
                  <c:v>38624</c:v>
                </c:pt>
                <c:pt idx="226">
                  <c:v>38654</c:v>
                </c:pt>
                <c:pt idx="227">
                  <c:v>38685</c:v>
                </c:pt>
                <c:pt idx="228">
                  <c:v>38716</c:v>
                </c:pt>
                <c:pt idx="229">
                  <c:v>38745</c:v>
                </c:pt>
                <c:pt idx="230">
                  <c:v>38773</c:v>
                </c:pt>
                <c:pt idx="231">
                  <c:v>38806</c:v>
                </c:pt>
                <c:pt idx="232">
                  <c:v>38836</c:v>
                </c:pt>
                <c:pt idx="233">
                  <c:v>38867</c:v>
                </c:pt>
                <c:pt idx="234">
                  <c:v>38897</c:v>
                </c:pt>
                <c:pt idx="235">
                  <c:v>38927</c:v>
                </c:pt>
                <c:pt idx="236">
                  <c:v>38959</c:v>
                </c:pt>
                <c:pt idx="237">
                  <c:v>38989</c:v>
                </c:pt>
                <c:pt idx="238">
                  <c:v>39018</c:v>
                </c:pt>
                <c:pt idx="239">
                  <c:v>39050</c:v>
                </c:pt>
                <c:pt idx="240">
                  <c:v>39081</c:v>
                </c:pt>
                <c:pt idx="241">
                  <c:v>39112</c:v>
                </c:pt>
                <c:pt idx="242">
                  <c:v>39140</c:v>
                </c:pt>
                <c:pt idx="243">
                  <c:v>39171</c:v>
                </c:pt>
                <c:pt idx="244">
                  <c:v>39200</c:v>
                </c:pt>
                <c:pt idx="245">
                  <c:v>39232</c:v>
                </c:pt>
                <c:pt idx="246">
                  <c:v>39262</c:v>
                </c:pt>
                <c:pt idx="247">
                  <c:v>39291</c:v>
                </c:pt>
                <c:pt idx="248">
                  <c:v>39324</c:v>
                </c:pt>
                <c:pt idx="249">
                  <c:v>39354</c:v>
                </c:pt>
                <c:pt idx="250">
                  <c:v>39385</c:v>
                </c:pt>
                <c:pt idx="251">
                  <c:v>39415</c:v>
                </c:pt>
                <c:pt idx="252">
                  <c:v>39445</c:v>
                </c:pt>
                <c:pt idx="253">
                  <c:v>39477</c:v>
                </c:pt>
                <c:pt idx="254">
                  <c:v>39506</c:v>
                </c:pt>
                <c:pt idx="255">
                  <c:v>39536</c:v>
                </c:pt>
                <c:pt idx="256">
                  <c:v>39567</c:v>
                </c:pt>
                <c:pt idx="257">
                  <c:v>39598</c:v>
                </c:pt>
                <c:pt idx="258">
                  <c:v>39627</c:v>
                </c:pt>
                <c:pt idx="259">
                  <c:v>39659</c:v>
                </c:pt>
                <c:pt idx="260">
                  <c:v>39690</c:v>
                </c:pt>
                <c:pt idx="261">
                  <c:v>39718</c:v>
                </c:pt>
                <c:pt idx="262">
                  <c:v>39751</c:v>
                </c:pt>
                <c:pt idx="263">
                  <c:v>39781</c:v>
                </c:pt>
                <c:pt idx="264">
                  <c:v>39812</c:v>
                </c:pt>
                <c:pt idx="265">
                  <c:v>39843</c:v>
                </c:pt>
                <c:pt idx="266">
                  <c:v>39871</c:v>
                </c:pt>
                <c:pt idx="267">
                  <c:v>39900</c:v>
                </c:pt>
                <c:pt idx="268">
                  <c:v>39932</c:v>
                </c:pt>
                <c:pt idx="269">
                  <c:v>39963</c:v>
                </c:pt>
                <c:pt idx="270">
                  <c:v>39991</c:v>
                </c:pt>
                <c:pt idx="271">
                  <c:v>40024</c:v>
                </c:pt>
                <c:pt idx="272">
                  <c:v>40054</c:v>
                </c:pt>
                <c:pt idx="273">
                  <c:v>40085</c:v>
                </c:pt>
                <c:pt idx="274">
                  <c:v>40116</c:v>
                </c:pt>
                <c:pt idx="275">
                  <c:v>40146</c:v>
                </c:pt>
                <c:pt idx="276">
                  <c:v>40177</c:v>
                </c:pt>
                <c:pt idx="277">
                  <c:v>40208</c:v>
                </c:pt>
                <c:pt idx="278">
                  <c:v>40236</c:v>
                </c:pt>
                <c:pt idx="279">
                  <c:v>40267</c:v>
                </c:pt>
                <c:pt idx="280">
                  <c:v>40297</c:v>
                </c:pt>
                <c:pt idx="281">
                  <c:v>40328</c:v>
                </c:pt>
                <c:pt idx="282">
                  <c:v>40358</c:v>
                </c:pt>
                <c:pt idx="283">
                  <c:v>40389</c:v>
                </c:pt>
                <c:pt idx="284">
                  <c:v>40420</c:v>
                </c:pt>
                <c:pt idx="285">
                  <c:v>40450</c:v>
                </c:pt>
                <c:pt idx="286">
                  <c:v>40481</c:v>
                </c:pt>
                <c:pt idx="287">
                  <c:v>40511</c:v>
                </c:pt>
                <c:pt idx="288">
                  <c:v>40542</c:v>
                </c:pt>
                <c:pt idx="289">
                  <c:v>40573</c:v>
                </c:pt>
                <c:pt idx="290">
                  <c:v>40601</c:v>
                </c:pt>
                <c:pt idx="291">
                  <c:v>40632</c:v>
                </c:pt>
                <c:pt idx="292">
                  <c:v>40662</c:v>
                </c:pt>
                <c:pt idx="293">
                  <c:v>40693</c:v>
                </c:pt>
                <c:pt idx="294">
                  <c:v>40723</c:v>
                </c:pt>
                <c:pt idx="295">
                  <c:v>40754</c:v>
                </c:pt>
                <c:pt idx="296">
                  <c:v>40785</c:v>
                </c:pt>
                <c:pt idx="297">
                  <c:v>40815</c:v>
                </c:pt>
                <c:pt idx="298">
                  <c:v>40846</c:v>
                </c:pt>
                <c:pt idx="299">
                  <c:v>40876</c:v>
                </c:pt>
                <c:pt idx="300">
                  <c:v>40907</c:v>
                </c:pt>
                <c:pt idx="301">
                  <c:v>40936</c:v>
                </c:pt>
                <c:pt idx="302">
                  <c:v>40967</c:v>
                </c:pt>
                <c:pt idx="303">
                  <c:v>40998</c:v>
                </c:pt>
                <c:pt idx="304">
                  <c:v>41027</c:v>
                </c:pt>
                <c:pt idx="305">
                  <c:v>41059</c:v>
                </c:pt>
                <c:pt idx="306">
                  <c:v>41089</c:v>
                </c:pt>
                <c:pt idx="307">
                  <c:v>41118</c:v>
                </c:pt>
                <c:pt idx="308">
                  <c:v>41151</c:v>
                </c:pt>
                <c:pt idx="309">
                  <c:v>41181</c:v>
                </c:pt>
                <c:pt idx="310">
                  <c:v>41212</c:v>
                </c:pt>
                <c:pt idx="311">
                  <c:v>41242</c:v>
                </c:pt>
                <c:pt idx="312">
                  <c:v>41272</c:v>
                </c:pt>
                <c:pt idx="313">
                  <c:v>41304</c:v>
                </c:pt>
                <c:pt idx="314">
                  <c:v>41332</c:v>
                </c:pt>
                <c:pt idx="315">
                  <c:v>41363</c:v>
                </c:pt>
                <c:pt idx="316">
                  <c:v>41391</c:v>
                </c:pt>
                <c:pt idx="317">
                  <c:v>41424</c:v>
                </c:pt>
                <c:pt idx="318">
                  <c:v>41454</c:v>
                </c:pt>
                <c:pt idx="319">
                  <c:v>41485</c:v>
                </c:pt>
                <c:pt idx="320">
                  <c:v>41516</c:v>
                </c:pt>
                <c:pt idx="321">
                  <c:v>41545</c:v>
                </c:pt>
              </c:numCache>
            </c:numRef>
          </c:xVal>
          <c:yVal>
            <c:numRef>
              <c:f>GEmonth!$F$4:$F$325</c:f>
              <c:numCache>
                <c:formatCode>0.00</c:formatCode>
                <c:ptCount val="32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24.460234249999996</c:v>
                </c:pt>
                <c:pt idx="5">
                  <c:v>14.924437800000174</c:v>
                </c:pt>
                <c:pt idx="6">
                  <c:v>0</c:v>
                </c:pt>
                <c:pt idx="7">
                  <c:v>0</c:v>
                </c:pt>
                <c:pt idx="8">
                  <c:v>2.2601300999998326</c:v>
                </c:pt>
                <c:pt idx="9">
                  <c:v>0</c:v>
                </c:pt>
                <c:pt idx="10">
                  <c:v>0</c:v>
                </c:pt>
                <c:pt idx="11">
                  <c:v>19.438375600000104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15.270651500000168</c:v>
                </c:pt>
                <c:pt idx="16">
                  <c:v>0</c:v>
                </c:pt>
                <c:pt idx="17">
                  <c:v>0</c:v>
                </c:pt>
                <c:pt idx="18">
                  <c:v>37.225744399999684</c:v>
                </c:pt>
                <c:pt idx="19">
                  <c:v>0</c:v>
                </c:pt>
                <c:pt idx="20">
                  <c:v>0</c:v>
                </c:pt>
                <c:pt idx="21">
                  <c:v>23.059988600000242</c:v>
                </c:pt>
                <c:pt idx="22">
                  <c:v>0</c:v>
                </c:pt>
                <c:pt idx="23">
                  <c:v>0</c:v>
                </c:pt>
                <c:pt idx="24">
                  <c:v>1.8246869999998772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-4.1972718000003013</c:v>
                </c:pt>
                <c:pt idx="31">
                  <c:v>6.3090528500002758</c:v>
                </c:pt>
                <c:pt idx="32">
                  <c:v>0</c:v>
                </c:pt>
                <c:pt idx="33">
                  <c:v>-2.8220709000004383</c:v>
                </c:pt>
                <c:pt idx="34">
                  <c:v>0</c:v>
                </c:pt>
                <c:pt idx="35">
                  <c:v>0</c:v>
                </c:pt>
                <c:pt idx="36">
                  <c:v>9.8654376000008384</c:v>
                </c:pt>
                <c:pt idx="37">
                  <c:v>0</c:v>
                </c:pt>
                <c:pt idx="38">
                  <c:v>0</c:v>
                </c:pt>
                <c:pt idx="39">
                  <c:v>-7.3859153000002022</c:v>
                </c:pt>
                <c:pt idx="40">
                  <c:v>0</c:v>
                </c:pt>
                <c:pt idx="41">
                  <c:v>-6659.3773007999998</c:v>
                </c:pt>
                <c:pt idx="42">
                  <c:v>-21.00421530000003</c:v>
                </c:pt>
                <c:pt idx="43">
                  <c:v>0</c:v>
                </c:pt>
                <c:pt idx="44">
                  <c:v>-15.878907000000144</c:v>
                </c:pt>
                <c:pt idx="45">
                  <c:v>0</c:v>
                </c:pt>
                <c:pt idx="46">
                  <c:v>0</c:v>
                </c:pt>
                <c:pt idx="47">
                  <c:v>20.563164599999268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119.63436200000082</c:v>
                </c:pt>
                <c:pt idx="54">
                  <c:v>24.560641000000366</c:v>
                </c:pt>
                <c:pt idx="55">
                  <c:v>0</c:v>
                </c:pt>
                <c:pt idx="56">
                  <c:v>0</c:v>
                </c:pt>
                <c:pt idx="57">
                  <c:v>112.46943180000021</c:v>
                </c:pt>
                <c:pt idx="58">
                  <c:v>0</c:v>
                </c:pt>
                <c:pt idx="59">
                  <c:v>126.89786760000047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96.268512599997749</c:v>
                </c:pt>
                <c:pt idx="65">
                  <c:v>0</c:v>
                </c:pt>
                <c:pt idx="66">
                  <c:v>0</c:v>
                </c:pt>
                <c:pt idx="67">
                  <c:v>37.522485000002192</c:v>
                </c:pt>
                <c:pt idx="68">
                  <c:v>0</c:v>
                </c:pt>
                <c:pt idx="69">
                  <c:v>118.54737500000002</c:v>
                </c:pt>
                <c:pt idx="70">
                  <c:v>0</c:v>
                </c:pt>
                <c:pt idx="71">
                  <c:v>0</c:v>
                </c:pt>
                <c:pt idx="72">
                  <c:v>78.550082999997286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105.04916760000097</c:v>
                </c:pt>
                <c:pt idx="77">
                  <c:v>-30185.949512249994</c:v>
                </c:pt>
                <c:pt idx="78">
                  <c:v>0</c:v>
                </c:pt>
                <c:pt idx="79">
                  <c:v>0</c:v>
                </c:pt>
                <c:pt idx="80">
                  <c:v>6.2703872499918809</c:v>
                </c:pt>
                <c:pt idx="81">
                  <c:v>0</c:v>
                </c:pt>
                <c:pt idx="82">
                  <c:v>-141.0514979999993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338.11053220000713</c:v>
                </c:pt>
                <c:pt idx="89">
                  <c:v>64.508853050003339</c:v>
                </c:pt>
                <c:pt idx="90">
                  <c:v>0</c:v>
                </c:pt>
                <c:pt idx="91">
                  <c:v>0</c:v>
                </c:pt>
                <c:pt idx="92">
                  <c:v>117.69031359999418</c:v>
                </c:pt>
                <c:pt idx="93">
                  <c:v>0</c:v>
                </c:pt>
                <c:pt idx="94">
                  <c:v>0</c:v>
                </c:pt>
                <c:pt idx="95">
                  <c:v>-659.64073000000258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54.064959999996923</c:v>
                </c:pt>
                <c:pt idx="100">
                  <c:v>0</c:v>
                </c:pt>
                <c:pt idx="101">
                  <c:v>111.31784880000734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-234.91376219999734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-814.84343480001212</c:v>
                </c:pt>
                <c:pt idx="112">
                  <c:v>0</c:v>
                </c:pt>
                <c:pt idx="113">
                  <c:v>-332749.46698825003</c:v>
                </c:pt>
                <c:pt idx="114">
                  <c:v>-330.06492720002069</c:v>
                </c:pt>
                <c:pt idx="115">
                  <c:v>0</c:v>
                </c:pt>
                <c:pt idx="116">
                  <c:v>-432.10855544999157</c:v>
                </c:pt>
                <c:pt idx="117">
                  <c:v>0</c:v>
                </c:pt>
                <c:pt idx="118">
                  <c:v>-390.65791749992133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-1024.6679040000261</c:v>
                </c:pt>
                <c:pt idx="124">
                  <c:v>-210.26750800000636</c:v>
                </c:pt>
                <c:pt idx="125">
                  <c:v>0</c:v>
                </c:pt>
                <c:pt idx="126">
                  <c:v>0</c:v>
                </c:pt>
                <c:pt idx="127">
                  <c:v>129.80969925003038</c:v>
                </c:pt>
                <c:pt idx="128">
                  <c:v>0</c:v>
                </c:pt>
                <c:pt idx="129">
                  <c:v>0</c:v>
                </c:pt>
                <c:pt idx="130">
                  <c:v>264.10274200000515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-369.30540365000689</c:v>
                </c:pt>
                <c:pt idx="136">
                  <c:v>0</c:v>
                </c:pt>
                <c:pt idx="137">
                  <c:v>-8.1653248500192923</c:v>
                </c:pt>
                <c:pt idx="138">
                  <c:v>-338.52481759998022</c:v>
                </c:pt>
                <c:pt idx="139">
                  <c:v>0</c:v>
                </c:pt>
                <c:pt idx="140">
                  <c:v>0</c:v>
                </c:pt>
                <c:pt idx="141">
                  <c:v>-41.798802750035648</c:v>
                </c:pt>
                <c:pt idx="142">
                  <c:v>38.061338400032454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-991.5980180000264</c:v>
                </c:pt>
                <c:pt idx="147">
                  <c:v>-27.863491500001732</c:v>
                </c:pt>
                <c:pt idx="148">
                  <c:v>0</c:v>
                </c:pt>
                <c:pt idx="149">
                  <c:v>32.643672800041486</c:v>
                </c:pt>
                <c:pt idx="150">
                  <c:v>-707.32695600002887</c:v>
                </c:pt>
                <c:pt idx="151">
                  <c:v>0</c:v>
                </c:pt>
                <c:pt idx="152">
                  <c:v>0</c:v>
                </c:pt>
                <c:pt idx="153">
                  <c:v>-628.43979000001252</c:v>
                </c:pt>
                <c:pt idx="154">
                  <c:v>0</c:v>
                </c:pt>
                <c:pt idx="155">
                  <c:v>0</c:v>
                </c:pt>
                <c:pt idx="156">
                  <c:v>-638.17750500000625</c:v>
                </c:pt>
                <c:pt idx="157">
                  <c:v>0</c:v>
                </c:pt>
                <c:pt idx="158">
                  <c:v>-607.25202999995372</c:v>
                </c:pt>
                <c:pt idx="159">
                  <c:v>-3951.8398765000088</c:v>
                </c:pt>
                <c:pt idx="160">
                  <c:v>0</c:v>
                </c:pt>
                <c:pt idx="161">
                  <c:v>0</c:v>
                </c:pt>
                <c:pt idx="162">
                  <c:v>-10550.92608000001</c:v>
                </c:pt>
                <c:pt idx="163">
                  <c:v>0</c:v>
                </c:pt>
                <c:pt idx="164">
                  <c:v>0</c:v>
                </c:pt>
                <c:pt idx="165">
                  <c:v>-442.7595079999744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-952.72318050002991</c:v>
                </c:pt>
                <c:pt idx="171">
                  <c:v>-205.49610000000001</c:v>
                </c:pt>
                <c:pt idx="172">
                  <c:v>0</c:v>
                </c:pt>
                <c:pt idx="173">
                  <c:v>0</c:v>
                </c:pt>
                <c:pt idx="174">
                  <c:v>174.6948035000199</c:v>
                </c:pt>
                <c:pt idx="175">
                  <c:v>0</c:v>
                </c:pt>
                <c:pt idx="176">
                  <c:v>0</c:v>
                </c:pt>
                <c:pt idx="177">
                  <c:v>1120.4579924999882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4501.8197639999926</c:v>
                </c:pt>
                <c:pt idx="183">
                  <c:v>813.50778600001411</c:v>
                </c:pt>
                <c:pt idx="184">
                  <c:v>0</c:v>
                </c:pt>
                <c:pt idx="185">
                  <c:v>0</c:v>
                </c:pt>
                <c:pt idx="186">
                  <c:v>2424.3623039999693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516.41060800000741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851.60434700003975</c:v>
                </c:pt>
                <c:pt idx="195">
                  <c:v>0</c:v>
                </c:pt>
                <c:pt idx="196">
                  <c:v>-174.59507250002275</c:v>
                </c:pt>
                <c:pt idx="197">
                  <c:v>0</c:v>
                </c:pt>
                <c:pt idx="198">
                  <c:v>0</c:v>
                </c:pt>
                <c:pt idx="199">
                  <c:v>1554.7763269999919</c:v>
                </c:pt>
                <c:pt idx="200">
                  <c:v>0</c:v>
                </c:pt>
                <c:pt idx="201">
                  <c:v>0</c:v>
                </c:pt>
                <c:pt idx="202">
                  <c:v>5553.661786000037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3968.6460031999959</c:v>
                </c:pt>
                <c:pt idx="207">
                  <c:v>615.92114780000088</c:v>
                </c:pt>
                <c:pt idx="208">
                  <c:v>0</c:v>
                </c:pt>
                <c:pt idx="209">
                  <c:v>0</c:v>
                </c:pt>
                <c:pt idx="210">
                  <c:v>534.58000109999432</c:v>
                </c:pt>
                <c:pt idx="211">
                  <c:v>0</c:v>
                </c:pt>
                <c:pt idx="212">
                  <c:v>0</c:v>
                </c:pt>
                <c:pt idx="213">
                  <c:v>-191.45946800001798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-8237.2503203999986</c:v>
                </c:pt>
                <c:pt idx="218">
                  <c:v>0</c:v>
                </c:pt>
                <c:pt idx="219">
                  <c:v>-260.86917999999673</c:v>
                </c:pt>
                <c:pt idx="220">
                  <c:v>0</c:v>
                </c:pt>
                <c:pt idx="221">
                  <c:v>0</c:v>
                </c:pt>
                <c:pt idx="222">
                  <c:v>-451.40492250000534</c:v>
                </c:pt>
                <c:pt idx="223">
                  <c:v>0</c:v>
                </c:pt>
                <c:pt idx="224">
                  <c:v>0</c:v>
                </c:pt>
                <c:pt idx="225">
                  <c:v>-300.92315749999472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-334.95669899999888</c:v>
                </c:pt>
                <c:pt idx="230">
                  <c:v>0</c:v>
                </c:pt>
                <c:pt idx="231">
                  <c:v>-110.32354000001199</c:v>
                </c:pt>
                <c:pt idx="232">
                  <c:v>0</c:v>
                </c:pt>
                <c:pt idx="233">
                  <c:v>0</c:v>
                </c:pt>
                <c:pt idx="234">
                  <c:v>-217.39535999998387</c:v>
                </c:pt>
                <c:pt idx="235">
                  <c:v>0</c:v>
                </c:pt>
                <c:pt idx="236">
                  <c:v>0</c:v>
                </c:pt>
                <c:pt idx="237">
                  <c:v>539.09040000000005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669.18440349999196</c:v>
                </c:pt>
                <c:pt idx="242">
                  <c:v>-16.971627000011487</c:v>
                </c:pt>
                <c:pt idx="243">
                  <c:v>0</c:v>
                </c:pt>
                <c:pt idx="244">
                  <c:v>270.56697499999291</c:v>
                </c:pt>
                <c:pt idx="245">
                  <c:v>0</c:v>
                </c:pt>
                <c:pt idx="246">
                  <c:v>0</c:v>
                </c:pt>
                <c:pt idx="247">
                  <c:v>90.306986000010298</c:v>
                </c:pt>
                <c:pt idx="248">
                  <c:v>0</c:v>
                </c:pt>
                <c:pt idx="249">
                  <c:v>651.47475899999665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-390.37208400000401</c:v>
                </c:pt>
                <c:pt idx="255">
                  <c:v>0</c:v>
                </c:pt>
                <c:pt idx="256">
                  <c:v>-161.22052799998337</c:v>
                </c:pt>
                <c:pt idx="257">
                  <c:v>-148.50054199999593</c:v>
                </c:pt>
                <c:pt idx="258">
                  <c:v>0</c:v>
                </c:pt>
                <c:pt idx="259">
                  <c:v>729.00430049998704</c:v>
                </c:pt>
                <c:pt idx="260">
                  <c:v>0</c:v>
                </c:pt>
                <c:pt idx="261">
                  <c:v>0</c:v>
                </c:pt>
                <c:pt idx="262">
                  <c:v>1526.0203530000181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2523.1759919999827</c:v>
                </c:pt>
                <c:pt idx="267">
                  <c:v>0</c:v>
                </c:pt>
                <c:pt idx="268">
                  <c:v>672.21615999998414</c:v>
                </c:pt>
                <c:pt idx="269">
                  <c:v>0</c:v>
                </c:pt>
                <c:pt idx="270">
                  <c:v>0</c:v>
                </c:pt>
                <c:pt idx="271">
                  <c:v>3573.7057070000037</c:v>
                </c:pt>
                <c:pt idx="272">
                  <c:v>0</c:v>
                </c:pt>
                <c:pt idx="273">
                  <c:v>1501.1150374999968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2246.4014520000196</c:v>
                </c:pt>
                <c:pt idx="279">
                  <c:v>-68.130186000005395</c:v>
                </c:pt>
                <c:pt idx="280">
                  <c:v>0</c:v>
                </c:pt>
                <c:pt idx="281">
                  <c:v>0</c:v>
                </c:pt>
                <c:pt idx="282">
                  <c:v>-156.61144499998517</c:v>
                </c:pt>
                <c:pt idx="283">
                  <c:v>0</c:v>
                </c:pt>
                <c:pt idx="284">
                  <c:v>0</c:v>
                </c:pt>
                <c:pt idx="285">
                  <c:v>-205.59407250002164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-606.53081499998268</c:v>
                </c:pt>
                <c:pt idx="291">
                  <c:v>-206.06893000001247</c:v>
                </c:pt>
                <c:pt idx="292">
                  <c:v>0</c:v>
                </c:pt>
                <c:pt idx="293">
                  <c:v>0</c:v>
                </c:pt>
                <c:pt idx="294">
                  <c:v>-530.47542499999997</c:v>
                </c:pt>
                <c:pt idx="295">
                  <c:v>0</c:v>
                </c:pt>
                <c:pt idx="296">
                  <c:v>0</c:v>
                </c:pt>
                <c:pt idx="297">
                  <c:v>-308.08626449998775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23068.157476000015</c:v>
                </c:pt>
                <c:pt idx="303">
                  <c:v>2620.2261637499573</c:v>
                </c:pt>
                <c:pt idx="304">
                  <c:v>0</c:v>
                </c:pt>
                <c:pt idx="305">
                  <c:v>0</c:v>
                </c:pt>
                <c:pt idx="306">
                  <c:v>6952.8634644000267</c:v>
                </c:pt>
                <c:pt idx="307">
                  <c:v>0</c:v>
                </c:pt>
                <c:pt idx="308">
                  <c:v>0</c:v>
                </c:pt>
                <c:pt idx="309">
                  <c:v>3359.220373600016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3582.8219160999988</c:v>
                </c:pt>
                <c:pt idx="314">
                  <c:v>459.6341399999917</c:v>
                </c:pt>
                <c:pt idx="315">
                  <c:v>709.08873749999998</c:v>
                </c:pt>
                <c:pt idx="316">
                  <c:v>0</c:v>
                </c:pt>
                <c:pt idx="317">
                  <c:v>0</c:v>
                </c:pt>
                <c:pt idx="318">
                  <c:v>680.11429954999539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72696"/>
        <c:axId val="565573088"/>
      </c:scatterChart>
      <c:valAx>
        <c:axId val="565572696"/>
        <c:scaling>
          <c:orientation val="minMax"/>
          <c:max val="41000"/>
          <c:min val="31776"/>
        </c:scaling>
        <c:delete val="0"/>
        <c:axPos val="b"/>
        <c:majorGridlines/>
        <c:numFmt formatCode="[$-409]mmm\-yy;@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5573088"/>
        <c:crosses val="autoZero"/>
        <c:crossBetween val="midCat"/>
        <c:majorUnit val="365.25"/>
      </c:valAx>
      <c:valAx>
        <c:axId val="56557308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55726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6482502945364065"/>
          <c:y val="3.190378599935282E-2"/>
          <c:w val="0.23343731946851526"/>
          <c:h val="0.1416402401754575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9537919602154"/>
          <c:y val="5.3775699718456478E-2"/>
          <c:w val="0.82887270341207353"/>
          <c:h val="0.749306294041015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GenElectric!$A$92</c:f>
              <c:strCache>
                <c:ptCount val="1"/>
                <c:pt idx="0">
                  <c:v>Number of shares (billion)</c:v>
                </c:pt>
              </c:strCache>
            </c:strRef>
          </c:tx>
          <c:marker>
            <c:symbol val="none"/>
          </c:marker>
          <c:xVal>
            <c:numRef>
              <c:f>GenElectric!$B$91:$Z$91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GenElectric!$B$92:$Z$92</c:f>
              <c:numCache>
                <c:formatCode>#,##0</c:formatCode>
                <c:ptCount val="25"/>
                <c:pt idx="0">
                  <c:v>10529.652</c:v>
                </c:pt>
                <c:pt idx="1">
                  <c:v>10399.103999999999</c:v>
                </c:pt>
                <c:pt idx="2">
                  <c:v>10248.468000000001</c:v>
                </c:pt>
                <c:pt idx="3">
                  <c:v>10235.219999999999</c:v>
                </c:pt>
                <c:pt idx="4">
                  <c:v>10257.960000000001</c:v>
                </c:pt>
                <c:pt idx="5">
                  <c:v>10021.644</c:v>
                </c:pt>
                <c:pt idx="6">
                  <c:v>9878.52</c:v>
                </c:pt>
                <c:pt idx="7">
                  <c:v>9818.1720000000005</c:v>
                </c:pt>
                <c:pt idx="8">
                  <c:v>9830.4989999999998</c:v>
                </c:pt>
                <c:pt idx="9">
                  <c:v>9832.9470000000001</c:v>
                </c:pt>
                <c:pt idx="10">
                  <c:v>9908.7999999999993</c:v>
                </c:pt>
                <c:pt idx="11">
                  <c:v>9927.3799999999992</c:v>
                </c:pt>
                <c:pt idx="12">
                  <c:v>9949.4699999999993</c:v>
                </c:pt>
                <c:pt idx="13">
                  <c:v>10063.120000000001</c:v>
                </c:pt>
                <c:pt idx="14">
                  <c:v>10572.13</c:v>
                </c:pt>
                <c:pt idx="15">
                  <c:v>10566.16</c:v>
                </c:pt>
                <c:pt idx="16">
                  <c:v>10308.1</c:v>
                </c:pt>
                <c:pt idx="17">
                  <c:v>10106.209999999999</c:v>
                </c:pt>
                <c:pt idx="18">
                  <c:v>9955.4560000000001</c:v>
                </c:pt>
                <c:pt idx="19">
                  <c:v>10647.49</c:v>
                </c:pt>
                <c:pt idx="20">
                  <c:v>10654.72</c:v>
                </c:pt>
                <c:pt idx="21">
                  <c:v>10557.35</c:v>
                </c:pt>
                <c:pt idx="22">
                  <c:v>10486.3</c:v>
                </c:pt>
                <c:pt idx="23">
                  <c:v>10117.370000000001</c:v>
                </c:pt>
                <c:pt idx="24">
                  <c:v>10042.19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72304"/>
        <c:axId val="565571912"/>
      </c:scatterChart>
      <c:valAx>
        <c:axId val="565572304"/>
        <c:scaling>
          <c:orientation val="minMax"/>
          <c:max val="2014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5571912"/>
        <c:crosses val="autoZero"/>
        <c:crossBetween val="midCat"/>
      </c:valAx>
      <c:valAx>
        <c:axId val="565571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5572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727638485978725"/>
          <c:y val="3.6092565894051978E-2"/>
          <c:w val="0.27164473684210533"/>
          <c:h val="0.16161250970389263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60880048221803E-2"/>
          <c:y val="3.2882035578885964E-2"/>
          <c:w val="0.88923333950344818"/>
          <c:h val="0.91343495516951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GenElectric!$A$96</c:f>
              <c:strCache>
                <c:ptCount val="1"/>
                <c:pt idx="0">
                  <c:v>All-shareholder return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GenElectric!$B$95:$Y$95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GenElectric!$B$96:$Y$96</c:f>
              <c:numCache>
                <c:formatCode>0%</c:formatCode>
                <c:ptCount val="24"/>
                <c:pt idx="0">
                  <c:v>0.36730767642793866</c:v>
                </c:pt>
                <c:pt idx="1">
                  <c:v>0.14506388495535166</c:v>
                </c:pt>
                <c:pt idx="2">
                  <c:v>0.25607025722157184</c:v>
                </c:pt>
                <c:pt idx="3">
                  <c:v>9.6793868101426172E-5</c:v>
                </c:pt>
                <c:pt idx="4">
                  <c:v>0.43847705799713982</c:v>
                </c:pt>
                <c:pt idx="5">
                  <c:v>0.39618712673626766</c:v>
                </c:pt>
                <c:pt idx="6">
                  <c:v>0.50250600588608552</c:v>
                </c:pt>
                <c:pt idx="7">
                  <c:v>0.40634806039032956</c:v>
                </c:pt>
                <c:pt idx="8">
                  <c:v>0.53061006821623036</c:v>
                </c:pt>
                <c:pt idx="9">
                  <c:v>-6.0240530122045652E-2</c:v>
                </c:pt>
                <c:pt idx="10">
                  <c:v>-0.15080035915712642</c:v>
                </c:pt>
                <c:pt idx="11">
                  <c:v>-0.37500764872862702</c:v>
                </c:pt>
                <c:pt idx="12">
                  <c:v>0.30564606338733336</c:v>
                </c:pt>
                <c:pt idx="13">
                  <c:v>0.21242789909187759</c:v>
                </c:pt>
                <c:pt idx="14">
                  <c:v>-1.5663774429616487E-2</c:v>
                </c:pt>
                <c:pt idx="15">
                  <c:v>8.7025690243995243E-2</c:v>
                </c:pt>
                <c:pt idx="16">
                  <c:v>2.7802667236339756E-2</c:v>
                </c:pt>
                <c:pt idx="17">
                  <c:v>-0.52270454257343846</c:v>
                </c:pt>
                <c:pt idx="18">
                  <c:v>-5.0793162322067273E-3</c:v>
                </c:pt>
                <c:pt idx="19">
                  <c:v>0.2386130795505958</c:v>
                </c:pt>
                <c:pt idx="20">
                  <c:v>1.2300228259815117E-2</c:v>
                </c:pt>
                <c:pt idx="21">
                  <c:v>0.21146022770564868</c:v>
                </c:pt>
                <c:pt idx="22">
                  <c:v>0.32472959676012397</c:v>
                </c:pt>
                <c:pt idx="23">
                  <c:v>-7.3648808596077767E-2</c:v>
                </c:pt>
              </c:numCache>
            </c:numRef>
          </c:val>
        </c:ser>
        <c:ser>
          <c:idx val="1"/>
          <c:order val="1"/>
          <c:tx>
            <c:strRef>
              <c:f>GenElectric!$A$97</c:f>
              <c:strCache>
                <c:ptCount val="1"/>
                <c:pt idx="0">
                  <c:v>Ke</c:v>
                </c:pt>
              </c:strCache>
            </c:strRef>
          </c:tx>
          <c:spPr>
            <a:solidFill>
              <a:schemeClr val="bg1"/>
            </a:solidFill>
            <a:ln w="15875">
              <a:solidFill>
                <a:srgbClr val="0070C0"/>
              </a:solidFill>
            </a:ln>
          </c:spPr>
          <c:invertIfNegative val="0"/>
          <c:cat>
            <c:numRef>
              <c:f>GenElectric!$B$95:$Y$95</c:f>
              <c:numCache>
                <c:formatCode>General</c:formatCode>
                <c:ptCount val="2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</c:numCache>
            </c:numRef>
          </c:cat>
          <c:val>
            <c:numRef>
              <c:f>GenElectric!$B$97:$Y$97</c:f>
              <c:numCache>
                <c:formatCode>0%</c:formatCode>
                <c:ptCount val="24"/>
                <c:pt idx="0">
                  <c:v>0.13885560000000002</c:v>
                </c:pt>
                <c:pt idx="1">
                  <c:v>0.11520559999999999</c:v>
                </c:pt>
                <c:pt idx="2">
                  <c:v>0.11496480000000001</c:v>
                </c:pt>
                <c:pt idx="3">
                  <c:v>9.9674000000000013E-2</c:v>
                </c:pt>
                <c:pt idx="4">
                  <c:v>0.13476199999999999</c:v>
                </c:pt>
                <c:pt idx="5">
                  <c:v>9.5890000000000003E-2</c:v>
                </c:pt>
                <c:pt idx="6">
                  <c:v>0.11037240000000001</c:v>
                </c:pt>
                <c:pt idx="7">
                  <c:v>9.869360000000002E-2</c:v>
                </c:pt>
                <c:pt idx="8">
                  <c:v>8.2470000000000016E-2</c:v>
                </c:pt>
                <c:pt idx="9">
                  <c:v>0.11066480000000002</c:v>
                </c:pt>
                <c:pt idx="10">
                  <c:v>8.7806000000000023E-2</c:v>
                </c:pt>
                <c:pt idx="11">
                  <c:v>8.6688000000000001E-2</c:v>
                </c:pt>
                <c:pt idx="12">
                  <c:v>7.4280000000000013E-2</c:v>
                </c:pt>
                <c:pt idx="13">
                  <c:v>7.8640000000000015E-2</c:v>
                </c:pt>
                <c:pt idx="14">
                  <c:v>7.8179999999999999E-2</c:v>
                </c:pt>
                <c:pt idx="15">
                  <c:v>7.9979999999999996E-2</c:v>
                </c:pt>
                <c:pt idx="16">
                  <c:v>8.3100000000000007E-2</c:v>
                </c:pt>
                <c:pt idx="17">
                  <c:v>7.6340000000000005E-2</c:v>
                </c:pt>
                <c:pt idx="18">
                  <c:v>7.0000000000000007E-2</c:v>
                </c:pt>
                <c:pt idx="19">
                  <c:v>7.4349999999999999E-2</c:v>
                </c:pt>
                <c:pt idx="20">
                  <c:v>7.0000000000000007E-2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565721792"/>
        <c:axId val="565722184"/>
      </c:barChart>
      <c:catAx>
        <c:axId val="5657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s-ES"/>
          </a:p>
        </c:txPr>
        <c:crossAx val="565722184"/>
        <c:crosses val="autoZero"/>
        <c:auto val="1"/>
        <c:lblAlgn val="ctr"/>
        <c:lblOffset val="100"/>
        <c:noMultiLvlLbl val="0"/>
      </c:catAx>
      <c:valAx>
        <c:axId val="565722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65721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651859176102224"/>
          <c:y val="2.2764262090557066E-2"/>
          <c:w val="0.32629712250746606"/>
          <c:h val="0.240021572645885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100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55074365704282E-2"/>
          <c:y val="5.0925925925925923E-2"/>
          <c:w val="0.89034492563429568"/>
          <c:h val="0.83809419655876349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GenElectric!$A$101</c:f>
              <c:strCache>
                <c:ptCount val="1"/>
                <c:pt idx="0">
                  <c:v>All-shareholder return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GenElectric!$B$100:$Z$100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GenElectric!$B$101:$Z$101</c:f>
              <c:numCache>
                <c:formatCode>General</c:formatCode>
                <c:ptCount val="25"/>
                <c:pt idx="0">
                  <c:v>1</c:v>
                </c:pt>
                <c:pt idx="1">
                  <c:v>1.3673076764279386</c:v>
                </c:pt>
                <c:pt idx="2">
                  <c:v>1.5656546398998501</c:v>
                </c:pt>
                <c:pt idx="3">
                  <c:v>1.9665722262591521</c:v>
                </c:pt>
                <c:pt idx="4">
                  <c:v>1.9667625783918323</c:v>
                </c:pt>
                <c:pt idx="5">
                  <c:v>2.829142847543952</c:v>
                </c:pt>
                <c:pt idx="6">
                  <c:v>3.9500128234388523</c:v>
                </c:pt>
                <c:pt idx="7">
                  <c:v>5.9349179905439291</c:v>
                </c:pt>
                <c:pt idx="8">
                  <c:v>8.3465604045771276</c:v>
                </c:pt>
                <c:pt idx="9">
                  <c:v>12.775329390220683</c:v>
                </c:pt>
                <c:pt idx="10">
                  <c:v>12.005736775270039</c:v>
                </c:pt>
                <c:pt idx="11">
                  <c:v>10.195267357613396</c:v>
                </c:pt>
                <c:pt idx="12">
                  <c:v>6.3719641176750743</c:v>
                </c:pt>
                <c:pt idx="13">
                  <c:v>8.3195298662878052</c:v>
                </c:pt>
                <c:pt idx="14">
                  <c:v>10.086830117215452</c:v>
                </c:pt>
                <c:pt idx="15">
                  <c:v>9.928832285549527</c:v>
                </c:pt>
                <c:pt idx="16">
                  <c:v>10.792895768516338</c:v>
                </c:pt>
                <c:pt idx="17">
                  <c:v>11.092967058084898</c:v>
                </c:pt>
                <c:pt idx="18">
                  <c:v>5.2946227862064106</c:v>
                </c:pt>
                <c:pt idx="19">
                  <c:v>5.2677297227450213</c:v>
                </c:pt>
                <c:pt idx="20">
                  <c:v>6.5246789341294171</c:v>
                </c:pt>
                <c:pt idx="21">
                  <c:v>6.6049339743412157</c:v>
                </c:pt>
                <c:pt idx="22">
                  <c:v>8.0016148165361844</c:v>
                </c:pt>
                <c:pt idx="23">
                  <c:v>10.599975969339813</c:v>
                </c:pt>
                <c:pt idx="24">
                  <c:v>9.8193003680508806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GenElectric!$A$102</c:f>
              <c:strCache>
                <c:ptCount val="1"/>
                <c:pt idx="0">
                  <c:v>Ke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GenElectric!$B$100:$Z$100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GenElectric!$B$102:$Z$102</c:f>
              <c:numCache>
                <c:formatCode>General</c:formatCode>
                <c:ptCount val="25"/>
                <c:pt idx="0">
                  <c:v>1</c:v>
                </c:pt>
                <c:pt idx="1">
                  <c:v>1.1388556000000001</c:v>
                </c:pt>
                <c:pt idx="2">
                  <c:v>1.27005814271136</c:v>
                </c:pt>
                <c:pt idx="3">
                  <c:v>1.4160701230765431</c:v>
                </c:pt>
                <c:pt idx="4">
                  <c:v>1.5572154965240745</c:v>
                </c:pt>
                <c:pt idx="5">
                  <c:v>1.7670689712666519</c:v>
                </c:pt>
                <c:pt idx="6">
                  <c:v>1.9365132149214113</c:v>
                </c:pt>
                <c:pt idx="7">
                  <c:v>2.1502508260840032</c:v>
                </c:pt>
                <c:pt idx="8">
                  <c:v>2.3624668210132076</c:v>
                </c:pt>
                <c:pt idx="9">
                  <c:v>2.557299459742167</c:v>
                </c:pt>
                <c:pt idx="10">
                  <c:v>2.8403024929946423</c:v>
                </c:pt>
                <c:pt idx="11">
                  <c:v>3.0896980936945302</c:v>
                </c:pt>
                <c:pt idx="12">
                  <c:v>3.3575378420407218</c:v>
                </c:pt>
                <c:pt idx="13">
                  <c:v>3.6069357529475061</c:v>
                </c:pt>
                <c:pt idx="14">
                  <c:v>3.8905851805592984</c:v>
                </c:pt>
                <c:pt idx="15">
                  <c:v>4.1947511299754243</c:v>
                </c:pt>
                <c:pt idx="16">
                  <c:v>4.5302473253508584</c:v>
                </c:pt>
                <c:pt idx="17">
                  <c:v>4.9067108780875142</c:v>
                </c:pt>
                <c:pt idx="18">
                  <c:v>5.2812891865207154</c:v>
                </c:pt>
                <c:pt idx="19">
                  <c:v>5.6509794295771663</c:v>
                </c:pt>
                <c:pt idx="20">
                  <c:v>6.0711297501662278</c:v>
                </c:pt>
                <c:pt idx="21">
                  <c:v>6.496108832677864</c:v>
                </c:pt>
                <c:pt idx="22">
                  <c:v>6.9508364509653147</c:v>
                </c:pt>
                <c:pt idx="23">
                  <c:v>7.4373950025328872</c:v>
                </c:pt>
                <c:pt idx="24">
                  <c:v>7.95801265271019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721008"/>
        <c:axId val="565722576"/>
      </c:scatterChart>
      <c:valAx>
        <c:axId val="565721008"/>
        <c:scaling>
          <c:orientation val="minMax"/>
          <c:max val="2014"/>
          <c:min val="199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5722576"/>
        <c:crosses val="autoZero"/>
        <c:crossBetween val="midCat"/>
        <c:majorUnit val="2"/>
      </c:valAx>
      <c:valAx>
        <c:axId val="565722576"/>
        <c:scaling>
          <c:orientation val="minMax"/>
          <c:max val="13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721008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8.6155694380952635E-2"/>
          <c:y val="2.6460774844314517E-2"/>
          <c:w val="0.25960644007155637"/>
          <c:h val="0.27483929778238797"/>
        </c:manualLayout>
      </c:layout>
      <c:overlay val="0"/>
      <c:spPr>
        <a:solidFill>
          <a:schemeClr val="bg1"/>
        </a:solidFill>
        <a:ln>
          <a:solidFill>
            <a:srgbClr val="0070C0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7744237694798E-2"/>
          <c:y val="5.0925925925925923E-2"/>
          <c:w val="0.92547777519371255"/>
          <c:h val="0.83809419655876349"/>
        </c:manualLayout>
      </c:layout>
      <c:scatterChart>
        <c:scatterStyle val="lineMarker"/>
        <c:varyColors val="0"/>
        <c:ser>
          <c:idx val="0"/>
          <c:order val="0"/>
          <c:tx>
            <c:strRef>
              <c:f>GenElectric!$A$114</c:f>
              <c:strCache>
                <c:ptCount val="1"/>
                <c:pt idx="0">
                  <c:v>Total return (includes dividends)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GenElectric!$B$100:$Z$100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GenElectric!$B$114:$Z$114</c:f>
              <c:numCache>
                <c:formatCode>General</c:formatCode>
                <c:ptCount val="25"/>
                <c:pt idx="0">
                  <c:v>1</c:v>
                </c:pt>
                <c:pt idx="1">
                  <c:v>1.3673076764279386</c:v>
                </c:pt>
                <c:pt idx="2">
                  <c:v>1.5656546398998501</c:v>
                </c:pt>
                <c:pt idx="3">
                  <c:v>1.9665722262591521</c:v>
                </c:pt>
                <c:pt idx="4">
                  <c:v>1.9667625783918323</c:v>
                </c:pt>
                <c:pt idx="5">
                  <c:v>2.829142847543952</c:v>
                </c:pt>
                <c:pt idx="6">
                  <c:v>3.9500128234388523</c:v>
                </c:pt>
                <c:pt idx="7">
                  <c:v>5.9349179905439291</c:v>
                </c:pt>
                <c:pt idx="8">
                  <c:v>8.3465604045771276</c:v>
                </c:pt>
                <c:pt idx="9">
                  <c:v>12.775329390220683</c:v>
                </c:pt>
                <c:pt idx="10">
                  <c:v>12.005736775270039</c:v>
                </c:pt>
                <c:pt idx="11">
                  <c:v>10.195267357613396</c:v>
                </c:pt>
                <c:pt idx="12">
                  <c:v>6.3719641176750743</c:v>
                </c:pt>
                <c:pt idx="13">
                  <c:v>8.3195298662878052</c:v>
                </c:pt>
                <c:pt idx="14">
                  <c:v>10.086830117215452</c:v>
                </c:pt>
                <c:pt idx="15">
                  <c:v>9.928832285549527</c:v>
                </c:pt>
                <c:pt idx="16">
                  <c:v>10.792895768516338</c:v>
                </c:pt>
                <c:pt idx="17">
                  <c:v>11.092967058084898</c:v>
                </c:pt>
                <c:pt idx="18">
                  <c:v>5.2946227862064106</c:v>
                </c:pt>
                <c:pt idx="19">
                  <c:v>5.2677297227450213</c:v>
                </c:pt>
                <c:pt idx="20">
                  <c:v>6.5246789341294171</c:v>
                </c:pt>
                <c:pt idx="21">
                  <c:v>6.6049339743412157</c:v>
                </c:pt>
                <c:pt idx="22">
                  <c:v>8.0016148165361844</c:v>
                </c:pt>
                <c:pt idx="23">
                  <c:v>10.599975969339813</c:v>
                </c:pt>
                <c:pt idx="24">
                  <c:v>9.8193003680508806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GenElectric!$A$113</c:f>
              <c:strCache>
                <c:ptCount val="1"/>
                <c:pt idx="0">
                  <c:v>Price return</c:v>
                </c:pt>
              </c:strCache>
            </c:strRef>
          </c:tx>
          <c:spPr>
            <a:ln w="19050"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GenElectric!$B$109:$Z$109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xVal>
          <c:yVal>
            <c:numRef>
              <c:f>GenElectric!$B$113:$Z$113</c:f>
              <c:numCache>
                <c:formatCode>General</c:formatCode>
                <c:ptCount val="25"/>
                <c:pt idx="0">
                  <c:v>1</c:v>
                </c:pt>
                <c:pt idx="1">
                  <c:v>1.3333333333333335</c:v>
                </c:pt>
                <c:pt idx="2">
                  <c:v>1.4901899263721554</c:v>
                </c:pt>
                <c:pt idx="3">
                  <c:v>1.8278739959839354</c:v>
                </c:pt>
                <c:pt idx="4">
                  <c:v>1.7777568607764389</c:v>
                </c:pt>
                <c:pt idx="5">
                  <c:v>2.5097891566265056</c:v>
                </c:pt>
                <c:pt idx="6">
                  <c:v>3.4465988955823286</c:v>
                </c:pt>
                <c:pt idx="7">
                  <c:v>5.1154409303882193</c:v>
                </c:pt>
                <c:pt idx="8">
                  <c:v>7.1110692771084336</c:v>
                </c:pt>
                <c:pt idx="9">
                  <c:v>10.788612784471219</c:v>
                </c:pt>
                <c:pt idx="10">
                  <c:v>10.027087516733602</c:v>
                </c:pt>
                <c:pt idx="11">
                  <c:v>8.3835341365461868</c:v>
                </c:pt>
                <c:pt idx="12">
                  <c:v>5.0932898259705492</c:v>
                </c:pt>
                <c:pt idx="13">
                  <c:v>6.4800870147255694</c:v>
                </c:pt>
                <c:pt idx="14">
                  <c:v>7.6347054886211518</c:v>
                </c:pt>
                <c:pt idx="15">
                  <c:v>7.3314089692101758</c:v>
                </c:pt>
                <c:pt idx="16">
                  <c:v>7.7832161981258379</c:v>
                </c:pt>
                <c:pt idx="17">
                  <c:v>7.7539323962516749</c:v>
                </c:pt>
                <c:pt idx="18">
                  <c:v>3.3885542168674703</c:v>
                </c:pt>
                <c:pt idx="19">
                  <c:v>3.164742302543508</c:v>
                </c:pt>
                <c:pt idx="20">
                  <c:v>3.8257195448460517</c:v>
                </c:pt>
                <c:pt idx="21">
                  <c:v>3.7462349397590371</c:v>
                </c:pt>
                <c:pt idx="22">
                  <c:v>4.3904785809906306</c:v>
                </c:pt>
                <c:pt idx="23">
                  <c:v>5.8630354752342724</c:v>
                </c:pt>
                <c:pt idx="24">
                  <c:v>5.2857262382864807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74264"/>
        <c:axId val="565574656"/>
      </c:scatterChart>
      <c:valAx>
        <c:axId val="565574264"/>
        <c:scaling>
          <c:orientation val="minMax"/>
          <c:max val="2014"/>
          <c:min val="199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65574656"/>
        <c:crosses val="autoZero"/>
        <c:crossBetween val="midCat"/>
        <c:majorUnit val="2"/>
        <c:minorUnit val="0.4"/>
      </c:valAx>
      <c:valAx>
        <c:axId val="565574656"/>
        <c:scaling>
          <c:orientation val="minMax"/>
          <c:max val="13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574264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4.4835745742752613E-2"/>
          <c:y val="4.1978142562688135E-2"/>
          <c:w val="0.23813953488372094"/>
          <c:h val="0.47274910780037388"/>
        </c:manualLayout>
      </c:layout>
      <c:overlay val="0"/>
      <c:spPr>
        <a:solidFill>
          <a:schemeClr val="bg1"/>
        </a:solidFill>
        <a:ln>
          <a:solidFill>
            <a:srgbClr val="0070C0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48769818406845E-2"/>
          <c:y val="3.2882035578885964E-2"/>
          <c:w val="0.92392172929603311"/>
          <c:h val="0.91343495516951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GenElectric!$A$68</c:f>
              <c:strCache>
                <c:ptCount val="1"/>
                <c:pt idx="0">
                  <c:v>Dividends/Capitalization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GenElectric!$B$18:$Z$18</c:f>
              <c:strCach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strCache>
            </c:strRef>
          </c:cat>
          <c:val>
            <c:numRef>
              <c:f>GenElectric!$B$68:$Z$68</c:f>
              <c:numCache>
                <c:formatCode>0.0%</c:formatCode>
                <c:ptCount val="25"/>
                <c:pt idx="0">
                  <c:v>3.3330102286468849E-2</c:v>
                </c:pt>
                <c:pt idx="1">
                  <c:v>3.5356127574442522E-2</c:v>
                </c:pt>
                <c:pt idx="2">
                  <c:v>2.9037209109387313E-2</c:v>
                </c:pt>
                <c:pt idx="3">
                  <c:v>2.9484971634580817E-2</c:v>
                </c:pt>
                <c:pt idx="4">
                  <c:v>2.7523294746315045E-2</c:v>
                </c:pt>
                <c:pt idx="5">
                  <c:v>3.1768740087321598E-2</c:v>
                </c:pt>
                <c:pt idx="6">
                  <c:v>2.5361758459601629E-2</c:v>
                </c:pt>
                <c:pt idx="7">
                  <c:v>2.0953401257326931E-2</c:v>
                </c:pt>
                <c:pt idx="8">
                  <c:v>1.6294926085665587E-2</c:v>
                </c:pt>
                <c:pt idx="9">
                  <c:v>1.3723798898326305E-2</c:v>
                </c:pt>
                <c:pt idx="10">
                  <c:v>1.0648317098642137E-2</c:v>
                </c:pt>
                <c:pt idx="11">
                  <c:v>1.3385175802010554E-2</c:v>
                </c:pt>
                <c:pt idx="12">
                  <c:v>1.7987419613299381E-2</c:v>
                </c:pt>
                <c:pt idx="13">
                  <c:v>3.1547512171362882E-2</c:v>
                </c:pt>
                <c:pt idx="14">
                  <c:v>2.6552876566974165E-2</c:v>
                </c:pt>
                <c:pt idx="15">
                  <c:v>2.4235337776133067E-2</c:v>
                </c:pt>
                <c:pt idx="16">
                  <c:v>2.8136026075237675E-2</c:v>
                </c:pt>
                <c:pt idx="17">
                  <c:v>2.9961078233818945E-2</c:v>
                </c:pt>
                <c:pt idx="18">
                  <c:v>3.3120069058867399E-2</c:v>
                </c:pt>
                <c:pt idx="19">
                  <c:v>5.5717353171505397E-2</c:v>
                </c:pt>
                <c:pt idx="20">
                  <c:v>2.9733731024572229E-2</c:v>
                </c:pt>
                <c:pt idx="21">
                  <c:v>3.3139242805761852E-2</c:v>
                </c:pt>
                <c:pt idx="22">
                  <c:v>3.8821305042256803E-2</c:v>
                </c:pt>
                <c:pt idx="23">
                  <c:v>3.6312861641963554E-2</c:v>
                </c:pt>
                <c:pt idx="24">
                  <c:v>3.1515763613500912E-2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"/>
        <c:axId val="565723360"/>
        <c:axId val="565723752"/>
      </c:barChart>
      <c:catAx>
        <c:axId val="56572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0"/>
            </a:pPr>
            <a:endParaRPr lang="es-ES"/>
          </a:p>
        </c:txPr>
        <c:crossAx val="565723752"/>
        <c:crosses val="autoZero"/>
        <c:auto val="1"/>
        <c:lblAlgn val="ctr"/>
        <c:lblOffset val="100"/>
        <c:noMultiLvlLbl val="0"/>
      </c:catAx>
      <c:valAx>
        <c:axId val="56572375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6572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147712055473586"/>
          <c:y val="5.8741576221891197E-2"/>
          <c:w val="0.34671341406999445"/>
          <c:h val="0.13296729800666809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100" b="1"/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219076</xdr:colOff>
      <xdr:row>336</xdr:row>
      <xdr:rowOff>57150</xdr:rowOff>
    </xdr:from>
    <xdr:to>
      <xdr:col>17</xdr:col>
      <xdr:colOff>609601</xdr:colOff>
      <xdr:row>345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380999</xdr:colOff>
      <xdr:row>327</xdr:row>
      <xdr:rowOff>133349</xdr:rowOff>
    </xdr:from>
    <xdr:to>
      <xdr:col>18</xdr:col>
      <xdr:colOff>76199</xdr:colOff>
      <xdr:row>335</xdr:row>
      <xdr:rowOff>85725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809626</xdr:colOff>
      <xdr:row>351</xdr:row>
      <xdr:rowOff>66675</xdr:rowOff>
    </xdr:from>
    <xdr:to>
      <xdr:col>17</xdr:col>
      <xdr:colOff>323851</xdr:colOff>
      <xdr:row>360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800100</xdr:colOff>
      <xdr:row>360</xdr:row>
      <xdr:rowOff>152400</xdr:rowOff>
    </xdr:from>
    <xdr:to>
      <xdr:col>18</xdr:col>
      <xdr:colOff>247650</xdr:colOff>
      <xdr:row>369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</xdr:row>
          <xdr:rowOff>0</xdr:rowOff>
        </xdr:from>
        <xdr:to>
          <xdr:col>10</xdr:col>
          <xdr:colOff>619125</xdr:colOff>
          <xdr:row>2</xdr:row>
          <xdr:rowOff>0</xdr:rowOff>
        </xdr:to>
        <xdr:sp macro="" textlink="">
          <xdr:nvSpPr>
            <xdr:cNvPr id="1025" name="XLDataChannel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141</xdr:row>
      <xdr:rowOff>85725</xdr:rowOff>
    </xdr:from>
    <xdr:to>
      <xdr:col>12</xdr:col>
      <xdr:colOff>238125</xdr:colOff>
      <xdr:row>152</xdr:row>
      <xdr:rowOff>0</xdr:rowOff>
    </xdr:to>
    <xdr:graphicFrame macro="">
      <xdr:nvGraphicFramePr>
        <xdr:cNvPr id="128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495300</xdr:colOff>
      <xdr:row>127</xdr:row>
      <xdr:rowOff>142875</xdr:rowOff>
    </xdr:from>
    <xdr:to>
      <xdr:col>12</xdr:col>
      <xdr:colOff>114300</xdr:colOff>
      <xdr:row>141</xdr:row>
      <xdr:rowOff>0</xdr:rowOff>
    </xdr:to>
    <xdr:graphicFrame macro="">
      <xdr:nvGraphicFramePr>
        <xdr:cNvPr id="1286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314326</xdr:colOff>
      <xdr:row>115</xdr:row>
      <xdr:rowOff>133351</xdr:rowOff>
    </xdr:from>
    <xdr:to>
      <xdr:col>11</xdr:col>
      <xdr:colOff>85725</xdr:colOff>
      <xdr:row>124</xdr:row>
      <xdr:rowOff>104775</xdr:rowOff>
    </xdr:to>
    <xdr:graphicFrame macro="">
      <xdr:nvGraphicFramePr>
        <xdr:cNvPr id="1286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117</xdr:row>
      <xdr:rowOff>0</xdr:rowOff>
    </xdr:from>
    <xdr:to>
      <xdr:col>23</xdr:col>
      <xdr:colOff>476251</xdr:colOff>
      <xdr:row>125</xdr:row>
      <xdr:rowOff>28575</xdr:rowOff>
    </xdr:to>
    <xdr:graphicFrame macro="">
      <xdr:nvGraphicFramePr>
        <xdr:cNvPr id="128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140</xdr:row>
      <xdr:rowOff>0</xdr:rowOff>
    </xdr:from>
    <xdr:to>
      <xdr:col>23</xdr:col>
      <xdr:colOff>276225</xdr:colOff>
      <xdr:row>149</xdr:row>
      <xdr:rowOff>47625</xdr:rowOff>
    </xdr:to>
    <xdr:graphicFrame macro="">
      <xdr:nvGraphicFramePr>
        <xdr:cNvPr id="128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276224</xdr:colOff>
      <xdr:row>128</xdr:row>
      <xdr:rowOff>133350</xdr:rowOff>
    </xdr:from>
    <xdr:to>
      <xdr:col>25</xdr:col>
      <xdr:colOff>257174</xdr:colOff>
      <xdr:row>138</xdr:row>
      <xdr:rowOff>76200</xdr:rowOff>
    </xdr:to>
    <xdr:graphicFrame macro="">
      <xdr:nvGraphicFramePr>
        <xdr:cNvPr id="1286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O892"/>
  <sheetViews>
    <sheetView topLeftCell="A332" workbookViewId="0">
      <pane ySplit="5865" topLeftCell="A328"/>
      <selection activeCell="J342" sqref="J342"/>
      <selection pane="bottomLeft" activeCell="P15" sqref="P15"/>
    </sheetView>
  </sheetViews>
  <sheetFormatPr defaultColWidth="9.140625" defaultRowHeight="12.75"/>
  <cols>
    <col min="1" max="1" width="10.140625" customWidth="1"/>
    <col min="2" max="2" width="16.140625" bestFit="1" customWidth="1"/>
    <col min="3" max="3" width="15" bestFit="1" customWidth="1"/>
    <col min="4" max="4" width="18.42578125" bestFit="1" customWidth="1"/>
    <col min="5" max="5" width="11.85546875" bestFit="1" customWidth="1"/>
    <col min="6" max="6" width="16.85546875" bestFit="1" customWidth="1"/>
    <col min="7" max="7" width="13.42578125" bestFit="1" customWidth="1"/>
    <col min="8" max="8" width="11.85546875" bestFit="1" customWidth="1"/>
    <col min="9" max="9" width="8" bestFit="1" customWidth="1"/>
    <col min="10" max="10" width="13.42578125" bestFit="1" customWidth="1"/>
    <col min="11" max="13" width="13.42578125" customWidth="1"/>
    <col min="14" max="14" width="11.85546875" bestFit="1" customWidth="1"/>
    <col min="15" max="15" width="8" bestFit="1" customWidth="1"/>
    <col min="16" max="16" width="13.42578125" bestFit="1" customWidth="1"/>
    <col min="17" max="17" width="13.42578125" customWidth="1"/>
    <col min="18" max="18" width="10" customWidth="1"/>
    <col min="19" max="19" width="13.42578125" customWidth="1"/>
    <col min="20" max="20" width="9.85546875" customWidth="1"/>
    <col min="21" max="21" width="13.42578125" customWidth="1"/>
    <col min="22" max="22" width="8" customWidth="1"/>
    <col min="23" max="23" width="11.85546875" bestFit="1" customWidth="1"/>
    <col min="24" max="24" width="8" bestFit="1" customWidth="1"/>
    <col min="25" max="25" width="8" customWidth="1"/>
    <col min="26" max="26" width="13.42578125" bestFit="1" customWidth="1"/>
    <col min="27" max="27" width="9.85546875" customWidth="1"/>
    <col min="28" max="28" width="13.42578125" customWidth="1"/>
    <col min="29" max="29" width="8" customWidth="1"/>
    <col min="30" max="30" width="11.85546875" bestFit="1" customWidth="1"/>
    <col min="257" max="257" width="10.140625" customWidth="1"/>
    <col min="258" max="258" width="16.140625" bestFit="1" customWidth="1"/>
    <col min="259" max="259" width="15" bestFit="1" customWidth="1"/>
    <col min="260" max="260" width="18.42578125" bestFit="1" customWidth="1"/>
    <col min="261" max="261" width="11.85546875" bestFit="1" customWidth="1"/>
    <col min="262" max="262" width="16.85546875" bestFit="1" customWidth="1"/>
    <col min="263" max="263" width="13.42578125" bestFit="1" customWidth="1"/>
    <col min="264" max="264" width="11.85546875" bestFit="1" customWidth="1"/>
    <col min="265" max="265" width="8" bestFit="1" customWidth="1"/>
    <col min="266" max="266" width="13.42578125" bestFit="1" customWidth="1"/>
    <col min="267" max="269" width="13.42578125" customWidth="1"/>
    <col min="270" max="270" width="11.85546875" bestFit="1" customWidth="1"/>
    <col min="271" max="271" width="8" bestFit="1" customWidth="1"/>
    <col min="272" max="272" width="13.42578125" bestFit="1" customWidth="1"/>
    <col min="273" max="273" width="13.42578125" customWidth="1"/>
    <col min="274" max="274" width="10" customWidth="1"/>
    <col min="275" max="275" width="13.42578125" customWidth="1"/>
    <col min="276" max="276" width="9.85546875" customWidth="1"/>
    <col min="277" max="277" width="13.42578125" customWidth="1"/>
    <col min="278" max="278" width="8" customWidth="1"/>
    <col min="279" max="279" width="11.85546875" bestFit="1" customWidth="1"/>
    <col min="280" max="280" width="8" bestFit="1" customWidth="1"/>
    <col min="281" max="281" width="8" customWidth="1"/>
    <col min="282" max="282" width="13.42578125" bestFit="1" customWidth="1"/>
    <col min="283" max="283" width="9.85546875" customWidth="1"/>
    <col min="284" max="284" width="13.42578125" customWidth="1"/>
    <col min="285" max="285" width="8" customWidth="1"/>
    <col min="286" max="286" width="11.85546875" bestFit="1" customWidth="1"/>
    <col min="513" max="513" width="10.140625" customWidth="1"/>
    <col min="514" max="514" width="16.140625" bestFit="1" customWidth="1"/>
    <col min="515" max="515" width="15" bestFit="1" customWidth="1"/>
    <col min="516" max="516" width="18.42578125" bestFit="1" customWidth="1"/>
    <col min="517" max="517" width="11.85546875" bestFit="1" customWidth="1"/>
    <col min="518" max="518" width="16.85546875" bestFit="1" customWidth="1"/>
    <col min="519" max="519" width="13.42578125" bestFit="1" customWidth="1"/>
    <col min="520" max="520" width="11.85546875" bestFit="1" customWidth="1"/>
    <col min="521" max="521" width="8" bestFit="1" customWidth="1"/>
    <col min="522" max="522" width="13.42578125" bestFit="1" customWidth="1"/>
    <col min="523" max="525" width="13.42578125" customWidth="1"/>
    <col min="526" max="526" width="11.85546875" bestFit="1" customWidth="1"/>
    <col min="527" max="527" width="8" bestFit="1" customWidth="1"/>
    <col min="528" max="528" width="13.42578125" bestFit="1" customWidth="1"/>
    <col min="529" max="529" width="13.42578125" customWidth="1"/>
    <col min="530" max="530" width="10" customWidth="1"/>
    <col min="531" max="531" width="13.42578125" customWidth="1"/>
    <col min="532" max="532" width="9.85546875" customWidth="1"/>
    <col min="533" max="533" width="13.42578125" customWidth="1"/>
    <col min="534" max="534" width="8" customWidth="1"/>
    <col min="535" max="535" width="11.85546875" bestFit="1" customWidth="1"/>
    <col min="536" max="536" width="8" bestFit="1" customWidth="1"/>
    <col min="537" max="537" width="8" customWidth="1"/>
    <col min="538" max="538" width="13.42578125" bestFit="1" customWidth="1"/>
    <col min="539" max="539" width="9.85546875" customWidth="1"/>
    <col min="540" max="540" width="13.42578125" customWidth="1"/>
    <col min="541" max="541" width="8" customWidth="1"/>
    <col min="542" max="542" width="11.85546875" bestFit="1" customWidth="1"/>
    <col min="769" max="769" width="10.140625" customWidth="1"/>
    <col min="770" max="770" width="16.140625" bestFit="1" customWidth="1"/>
    <col min="771" max="771" width="15" bestFit="1" customWidth="1"/>
    <col min="772" max="772" width="18.42578125" bestFit="1" customWidth="1"/>
    <col min="773" max="773" width="11.85546875" bestFit="1" customWidth="1"/>
    <col min="774" max="774" width="16.85546875" bestFit="1" customWidth="1"/>
    <col min="775" max="775" width="13.42578125" bestFit="1" customWidth="1"/>
    <col min="776" max="776" width="11.85546875" bestFit="1" customWidth="1"/>
    <col min="777" max="777" width="8" bestFit="1" customWidth="1"/>
    <col min="778" max="778" width="13.42578125" bestFit="1" customWidth="1"/>
    <col min="779" max="781" width="13.42578125" customWidth="1"/>
    <col min="782" max="782" width="11.85546875" bestFit="1" customWidth="1"/>
    <col min="783" max="783" width="8" bestFit="1" customWidth="1"/>
    <col min="784" max="784" width="13.42578125" bestFit="1" customWidth="1"/>
    <col min="785" max="785" width="13.42578125" customWidth="1"/>
    <col min="786" max="786" width="10" customWidth="1"/>
    <col min="787" max="787" width="13.42578125" customWidth="1"/>
    <col min="788" max="788" width="9.85546875" customWidth="1"/>
    <col min="789" max="789" width="13.42578125" customWidth="1"/>
    <col min="790" max="790" width="8" customWidth="1"/>
    <col min="791" max="791" width="11.85546875" bestFit="1" customWidth="1"/>
    <col min="792" max="792" width="8" bestFit="1" customWidth="1"/>
    <col min="793" max="793" width="8" customWidth="1"/>
    <col min="794" max="794" width="13.42578125" bestFit="1" customWidth="1"/>
    <col min="795" max="795" width="9.85546875" customWidth="1"/>
    <col min="796" max="796" width="13.42578125" customWidth="1"/>
    <col min="797" max="797" width="8" customWidth="1"/>
    <col min="798" max="798" width="11.85546875" bestFit="1" customWidth="1"/>
    <col min="1025" max="1025" width="10.140625" customWidth="1"/>
    <col min="1026" max="1026" width="16.140625" bestFit="1" customWidth="1"/>
    <col min="1027" max="1027" width="15" bestFit="1" customWidth="1"/>
    <col min="1028" max="1028" width="18.42578125" bestFit="1" customWidth="1"/>
    <col min="1029" max="1029" width="11.85546875" bestFit="1" customWidth="1"/>
    <col min="1030" max="1030" width="16.85546875" bestFit="1" customWidth="1"/>
    <col min="1031" max="1031" width="13.42578125" bestFit="1" customWidth="1"/>
    <col min="1032" max="1032" width="11.85546875" bestFit="1" customWidth="1"/>
    <col min="1033" max="1033" width="8" bestFit="1" customWidth="1"/>
    <col min="1034" max="1034" width="13.42578125" bestFit="1" customWidth="1"/>
    <col min="1035" max="1037" width="13.42578125" customWidth="1"/>
    <col min="1038" max="1038" width="11.85546875" bestFit="1" customWidth="1"/>
    <col min="1039" max="1039" width="8" bestFit="1" customWidth="1"/>
    <col min="1040" max="1040" width="13.42578125" bestFit="1" customWidth="1"/>
    <col min="1041" max="1041" width="13.42578125" customWidth="1"/>
    <col min="1042" max="1042" width="10" customWidth="1"/>
    <col min="1043" max="1043" width="13.42578125" customWidth="1"/>
    <col min="1044" max="1044" width="9.85546875" customWidth="1"/>
    <col min="1045" max="1045" width="13.42578125" customWidth="1"/>
    <col min="1046" max="1046" width="8" customWidth="1"/>
    <col min="1047" max="1047" width="11.85546875" bestFit="1" customWidth="1"/>
    <col min="1048" max="1048" width="8" bestFit="1" customWidth="1"/>
    <col min="1049" max="1049" width="8" customWidth="1"/>
    <col min="1050" max="1050" width="13.42578125" bestFit="1" customWidth="1"/>
    <col min="1051" max="1051" width="9.85546875" customWidth="1"/>
    <col min="1052" max="1052" width="13.42578125" customWidth="1"/>
    <col min="1053" max="1053" width="8" customWidth="1"/>
    <col min="1054" max="1054" width="11.85546875" bestFit="1" customWidth="1"/>
    <col min="1281" max="1281" width="10.140625" customWidth="1"/>
    <col min="1282" max="1282" width="16.140625" bestFit="1" customWidth="1"/>
    <col min="1283" max="1283" width="15" bestFit="1" customWidth="1"/>
    <col min="1284" max="1284" width="18.42578125" bestFit="1" customWidth="1"/>
    <col min="1285" max="1285" width="11.85546875" bestFit="1" customWidth="1"/>
    <col min="1286" max="1286" width="16.85546875" bestFit="1" customWidth="1"/>
    <col min="1287" max="1287" width="13.42578125" bestFit="1" customWidth="1"/>
    <col min="1288" max="1288" width="11.85546875" bestFit="1" customWidth="1"/>
    <col min="1289" max="1289" width="8" bestFit="1" customWidth="1"/>
    <col min="1290" max="1290" width="13.42578125" bestFit="1" customWidth="1"/>
    <col min="1291" max="1293" width="13.42578125" customWidth="1"/>
    <col min="1294" max="1294" width="11.85546875" bestFit="1" customWidth="1"/>
    <col min="1295" max="1295" width="8" bestFit="1" customWidth="1"/>
    <col min="1296" max="1296" width="13.42578125" bestFit="1" customWidth="1"/>
    <col min="1297" max="1297" width="13.42578125" customWidth="1"/>
    <col min="1298" max="1298" width="10" customWidth="1"/>
    <col min="1299" max="1299" width="13.42578125" customWidth="1"/>
    <col min="1300" max="1300" width="9.85546875" customWidth="1"/>
    <col min="1301" max="1301" width="13.42578125" customWidth="1"/>
    <col min="1302" max="1302" width="8" customWidth="1"/>
    <col min="1303" max="1303" width="11.85546875" bestFit="1" customWidth="1"/>
    <col min="1304" max="1304" width="8" bestFit="1" customWidth="1"/>
    <col min="1305" max="1305" width="8" customWidth="1"/>
    <col min="1306" max="1306" width="13.42578125" bestFit="1" customWidth="1"/>
    <col min="1307" max="1307" width="9.85546875" customWidth="1"/>
    <col min="1308" max="1308" width="13.42578125" customWidth="1"/>
    <col min="1309" max="1309" width="8" customWidth="1"/>
    <col min="1310" max="1310" width="11.85546875" bestFit="1" customWidth="1"/>
    <col min="1537" max="1537" width="10.140625" customWidth="1"/>
    <col min="1538" max="1538" width="16.140625" bestFit="1" customWidth="1"/>
    <col min="1539" max="1539" width="15" bestFit="1" customWidth="1"/>
    <col min="1540" max="1540" width="18.42578125" bestFit="1" customWidth="1"/>
    <col min="1541" max="1541" width="11.85546875" bestFit="1" customWidth="1"/>
    <col min="1542" max="1542" width="16.85546875" bestFit="1" customWidth="1"/>
    <col min="1543" max="1543" width="13.42578125" bestFit="1" customWidth="1"/>
    <col min="1544" max="1544" width="11.85546875" bestFit="1" customWidth="1"/>
    <col min="1545" max="1545" width="8" bestFit="1" customWidth="1"/>
    <col min="1546" max="1546" width="13.42578125" bestFit="1" customWidth="1"/>
    <col min="1547" max="1549" width="13.42578125" customWidth="1"/>
    <col min="1550" max="1550" width="11.85546875" bestFit="1" customWidth="1"/>
    <col min="1551" max="1551" width="8" bestFit="1" customWidth="1"/>
    <col min="1552" max="1552" width="13.42578125" bestFit="1" customWidth="1"/>
    <col min="1553" max="1553" width="13.42578125" customWidth="1"/>
    <col min="1554" max="1554" width="10" customWidth="1"/>
    <col min="1555" max="1555" width="13.42578125" customWidth="1"/>
    <col min="1556" max="1556" width="9.85546875" customWidth="1"/>
    <col min="1557" max="1557" width="13.42578125" customWidth="1"/>
    <col min="1558" max="1558" width="8" customWidth="1"/>
    <col min="1559" max="1559" width="11.85546875" bestFit="1" customWidth="1"/>
    <col min="1560" max="1560" width="8" bestFit="1" customWidth="1"/>
    <col min="1561" max="1561" width="8" customWidth="1"/>
    <col min="1562" max="1562" width="13.42578125" bestFit="1" customWidth="1"/>
    <col min="1563" max="1563" width="9.85546875" customWidth="1"/>
    <col min="1564" max="1564" width="13.42578125" customWidth="1"/>
    <col min="1565" max="1565" width="8" customWidth="1"/>
    <col min="1566" max="1566" width="11.85546875" bestFit="1" customWidth="1"/>
    <col min="1793" max="1793" width="10.140625" customWidth="1"/>
    <col min="1794" max="1794" width="16.140625" bestFit="1" customWidth="1"/>
    <col min="1795" max="1795" width="15" bestFit="1" customWidth="1"/>
    <col min="1796" max="1796" width="18.42578125" bestFit="1" customWidth="1"/>
    <col min="1797" max="1797" width="11.85546875" bestFit="1" customWidth="1"/>
    <col min="1798" max="1798" width="16.85546875" bestFit="1" customWidth="1"/>
    <col min="1799" max="1799" width="13.42578125" bestFit="1" customWidth="1"/>
    <col min="1800" max="1800" width="11.85546875" bestFit="1" customWidth="1"/>
    <col min="1801" max="1801" width="8" bestFit="1" customWidth="1"/>
    <col min="1802" max="1802" width="13.42578125" bestFit="1" customWidth="1"/>
    <col min="1803" max="1805" width="13.42578125" customWidth="1"/>
    <col min="1806" max="1806" width="11.85546875" bestFit="1" customWidth="1"/>
    <col min="1807" max="1807" width="8" bestFit="1" customWidth="1"/>
    <col min="1808" max="1808" width="13.42578125" bestFit="1" customWidth="1"/>
    <col min="1809" max="1809" width="13.42578125" customWidth="1"/>
    <col min="1810" max="1810" width="10" customWidth="1"/>
    <col min="1811" max="1811" width="13.42578125" customWidth="1"/>
    <col min="1812" max="1812" width="9.85546875" customWidth="1"/>
    <col min="1813" max="1813" width="13.42578125" customWidth="1"/>
    <col min="1814" max="1814" width="8" customWidth="1"/>
    <col min="1815" max="1815" width="11.85546875" bestFit="1" customWidth="1"/>
    <col min="1816" max="1816" width="8" bestFit="1" customWidth="1"/>
    <col min="1817" max="1817" width="8" customWidth="1"/>
    <col min="1818" max="1818" width="13.42578125" bestFit="1" customWidth="1"/>
    <col min="1819" max="1819" width="9.85546875" customWidth="1"/>
    <col min="1820" max="1820" width="13.42578125" customWidth="1"/>
    <col min="1821" max="1821" width="8" customWidth="1"/>
    <col min="1822" max="1822" width="11.85546875" bestFit="1" customWidth="1"/>
    <col min="2049" max="2049" width="10.140625" customWidth="1"/>
    <col min="2050" max="2050" width="16.140625" bestFit="1" customWidth="1"/>
    <col min="2051" max="2051" width="15" bestFit="1" customWidth="1"/>
    <col min="2052" max="2052" width="18.42578125" bestFit="1" customWidth="1"/>
    <col min="2053" max="2053" width="11.85546875" bestFit="1" customWidth="1"/>
    <col min="2054" max="2054" width="16.85546875" bestFit="1" customWidth="1"/>
    <col min="2055" max="2055" width="13.42578125" bestFit="1" customWidth="1"/>
    <col min="2056" max="2056" width="11.85546875" bestFit="1" customWidth="1"/>
    <col min="2057" max="2057" width="8" bestFit="1" customWidth="1"/>
    <col min="2058" max="2058" width="13.42578125" bestFit="1" customWidth="1"/>
    <col min="2059" max="2061" width="13.42578125" customWidth="1"/>
    <col min="2062" max="2062" width="11.85546875" bestFit="1" customWidth="1"/>
    <col min="2063" max="2063" width="8" bestFit="1" customWidth="1"/>
    <col min="2064" max="2064" width="13.42578125" bestFit="1" customWidth="1"/>
    <col min="2065" max="2065" width="13.42578125" customWidth="1"/>
    <col min="2066" max="2066" width="10" customWidth="1"/>
    <col min="2067" max="2067" width="13.42578125" customWidth="1"/>
    <col min="2068" max="2068" width="9.85546875" customWidth="1"/>
    <col min="2069" max="2069" width="13.42578125" customWidth="1"/>
    <col min="2070" max="2070" width="8" customWidth="1"/>
    <col min="2071" max="2071" width="11.85546875" bestFit="1" customWidth="1"/>
    <col min="2072" max="2072" width="8" bestFit="1" customWidth="1"/>
    <col min="2073" max="2073" width="8" customWidth="1"/>
    <col min="2074" max="2074" width="13.42578125" bestFit="1" customWidth="1"/>
    <col min="2075" max="2075" width="9.85546875" customWidth="1"/>
    <col min="2076" max="2076" width="13.42578125" customWidth="1"/>
    <col min="2077" max="2077" width="8" customWidth="1"/>
    <col min="2078" max="2078" width="11.85546875" bestFit="1" customWidth="1"/>
    <col min="2305" max="2305" width="10.140625" customWidth="1"/>
    <col min="2306" max="2306" width="16.140625" bestFit="1" customWidth="1"/>
    <col min="2307" max="2307" width="15" bestFit="1" customWidth="1"/>
    <col min="2308" max="2308" width="18.42578125" bestFit="1" customWidth="1"/>
    <col min="2309" max="2309" width="11.85546875" bestFit="1" customWidth="1"/>
    <col min="2310" max="2310" width="16.85546875" bestFit="1" customWidth="1"/>
    <col min="2311" max="2311" width="13.42578125" bestFit="1" customWidth="1"/>
    <col min="2312" max="2312" width="11.85546875" bestFit="1" customWidth="1"/>
    <col min="2313" max="2313" width="8" bestFit="1" customWidth="1"/>
    <col min="2314" max="2314" width="13.42578125" bestFit="1" customWidth="1"/>
    <col min="2315" max="2317" width="13.42578125" customWidth="1"/>
    <col min="2318" max="2318" width="11.85546875" bestFit="1" customWidth="1"/>
    <col min="2319" max="2319" width="8" bestFit="1" customWidth="1"/>
    <col min="2320" max="2320" width="13.42578125" bestFit="1" customWidth="1"/>
    <col min="2321" max="2321" width="13.42578125" customWidth="1"/>
    <col min="2322" max="2322" width="10" customWidth="1"/>
    <col min="2323" max="2323" width="13.42578125" customWidth="1"/>
    <col min="2324" max="2324" width="9.85546875" customWidth="1"/>
    <col min="2325" max="2325" width="13.42578125" customWidth="1"/>
    <col min="2326" max="2326" width="8" customWidth="1"/>
    <col min="2327" max="2327" width="11.85546875" bestFit="1" customWidth="1"/>
    <col min="2328" max="2328" width="8" bestFit="1" customWidth="1"/>
    <col min="2329" max="2329" width="8" customWidth="1"/>
    <col min="2330" max="2330" width="13.42578125" bestFit="1" customWidth="1"/>
    <col min="2331" max="2331" width="9.85546875" customWidth="1"/>
    <col min="2332" max="2332" width="13.42578125" customWidth="1"/>
    <col min="2333" max="2333" width="8" customWidth="1"/>
    <col min="2334" max="2334" width="11.85546875" bestFit="1" customWidth="1"/>
    <col min="2561" max="2561" width="10.140625" customWidth="1"/>
    <col min="2562" max="2562" width="16.140625" bestFit="1" customWidth="1"/>
    <col min="2563" max="2563" width="15" bestFit="1" customWidth="1"/>
    <col min="2564" max="2564" width="18.42578125" bestFit="1" customWidth="1"/>
    <col min="2565" max="2565" width="11.85546875" bestFit="1" customWidth="1"/>
    <col min="2566" max="2566" width="16.85546875" bestFit="1" customWidth="1"/>
    <col min="2567" max="2567" width="13.42578125" bestFit="1" customWidth="1"/>
    <col min="2568" max="2568" width="11.85546875" bestFit="1" customWidth="1"/>
    <col min="2569" max="2569" width="8" bestFit="1" customWidth="1"/>
    <col min="2570" max="2570" width="13.42578125" bestFit="1" customWidth="1"/>
    <col min="2571" max="2573" width="13.42578125" customWidth="1"/>
    <col min="2574" max="2574" width="11.85546875" bestFit="1" customWidth="1"/>
    <col min="2575" max="2575" width="8" bestFit="1" customWidth="1"/>
    <col min="2576" max="2576" width="13.42578125" bestFit="1" customWidth="1"/>
    <col min="2577" max="2577" width="13.42578125" customWidth="1"/>
    <col min="2578" max="2578" width="10" customWidth="1"/>
    <col min="2579" max="2579" width="13.42578125" customWidth="1"/>
    <col min="2580" max="2580" width="9.85546875" customWidth="1"/>
    <col min="2581" max="2581" width="13.42578125" customWidth="1"/>
    <col min="2582" max="2582" width="8" customWidth="1"/>
    <col min="2583" max="2583" width="11.85546875" bestFit="1" customWidth="1"/>
    <col min="2584" max="2584" width="8" bestFit="1" customWidth="1"/>
    <col min="2585" max="2585" width="8" customWidth="1"/>
    <col min="2586" max="2586" width="13.42578125" bestFit="1" customWidth="1"/>
    <col min="2587" max="2587" width="9.85546875" customWidth="1"/>
    <col min="2588" max="2588" width="13.42578125" customWidth="1"/>
    <col min="2589" max="2589" width="8" customWidth="1"/>
    <col min="2590" max="2590" width="11.85546875" bestFit="1" customWidth="1"/>
    <col min="2817" max="2817" width="10.140625" customWidth="1"/>
    <col min="2818" max="2818" width="16.140625" bestFit="1" customWidth="1"/>
    <col min="2819" max="2819" width="15" bestFit="1" customWidth="1"/>
    <col min="2820" max="2820" width="18.42578125" bestFit="1" customWidth="1"/>
    <col min="2821" max="2821" width="11.85546875" bestFit="1" customWidth="1"/>
    <col min="2822" max="2822" width="16.85546875" bestFit="1" customWidth="1"/>
    <col min="2823" max="2823" width="13.42578125" bestFit="1" customWidth="1"/>
    <col min="2824" max="2824" width="11.85546875" bestFit="1" customWidth="1"/>
    <col min="2825" max="2825" width="8" bestFit="1" customWidth="1"/>
    <col min="2826" max="2826" width="13.42578125" bestFit="1" customWidth="1"/>
    <col min="2827" max="2829" width="13.42578125" customWidth="1"/>
    <col min="2830" max="2830" width="11.85546875" bestFit="1" customWidth="1"/>
    <col min="2831" max="2831" width="8" bestFit="1" customWidth="1"/>
    <col min="2832" max="2832" width="13.42578125" bestFit="1" customWidth="1"/>
    <col min="2833" max="2833" width="13.42578125" customWidth="1"/>
    <col min="2834" max="2834" width="10" customWidth="1"/>
    <col min="2835" max="2835" width="13.42578125" customWidth="1"/>
    <col min="2836" max="2836" width="9.85546875" customWidth="1"/>
    <col min="2837" max="2837" width="13.42578125" customWidth="1"/>
    <col min="2838" max="2838" width="8" customWidth="1"/>
    <col min="2839" max="2839" width="11.85546875" bestFit="1" customWidth="1"/>
    <col min="2840" max="2840" width="8" bestFit="1" customWidth="1"/>
    <col min="2841" max="2841" width="8" customWidth="1"/>
    <col min="2842" max="2842" width="13.42578125" bestFit="1" customWidth="1"/>
    <col min="2843" max="2843" width="9.85546875" customWidth="1"/>
    <col min="2844" max="2844" width="13.42578125" customWidth="1"/>
    <col min="2845" max="2845" width="8" customWidth="1"/>
    <col min="2846" max="2846" width="11.85546875" bestFit="1" customWidth="1"/>
    <col min="3073" max="3073" width="10.140625" customWidth="1"/>
    <col min="3074" max="3074" width="16.140625" bestFit="1" customWidth="1"/>
    <col min="3075" max="3075" width="15" bestFit="1" customWidth="1"/>
    <col min="3076" max="3076" width="18.42578125" bestFit="1" customWidth="1"/>
    <col min="3077" max="3077" width="11.85546875" bestFit="1" customWidth="1"/>
    <col min="3078" max="3078" width="16.85546875" bestFit="1" customWidth="1"/>
    <col min="3079" max="3079" width="13.42578125" bestFit="1" customWidth="1"/>
    <col min="3080" max="3080" width="11.85546875" bestFit="1" customWidth="1"/>
    <col min="3081" max="3081" width="8" bestFit="1" customWidth="1"/>
    <col min="3082" max="3082" width="13.42578125" bestFit="1" customWidth="1"/>
    <col min="3083" max="3085" width="13.42578125" customWidth="1"/>
    <col min="3086" max="3086" width="11.85546875" bestFit="1" customWidth="1"/>
    <col min="3087" max="3087" width="8" bestFit="1" customWidth="1"/>
    <col min="3088" max="3088" width="13.42578125" bestFit="1" customWidth="1"/>
    <col min="3089" max="3089" width="13.42578125" customWidth="1"/>
    <col min="3090" max="3090" width="10" customWidth="1"/>
    <col min="3091" max="3091" width="13.42578125" customWidth="1"/>
    <col min="3092" max="3092" width="9.85546875" customWidth="1"/>
    <col min="3093" max="3093" width="13.42578125" customWidth="1"/>
    <col min="3094" max="3094" width="8" customWidth="1"/>
    <col min="3095" max="3095" width="11.85546875" bestFit="1" customWidth="1"/>
    <col min="3096" max="3096" width="8" bestFit="1" customWidth="1"/>
    <col min="3097" max="3097" width="8" customWidth="1"/>
    <col min="3098" max="3098" width="13.42578125" bestFit="1" customWidth="1"/>
    <col min="3099" max="3099" width="9.85546875" customWidth="1"/>
    <col min="3100" max="3100" width="13.42578125" customWidth="1"/>
    <col min="3101" max="3101" width="8" customWidth="1"/>
    <col min="3102" max="3102" width="11.85546875" bestFit="1" customWidth="1"/>
    <col min="3329" max="3329" width="10.140625" customWidth="1"/>
    <col min="3330" max="3330" width="16.140625" bestFit="1" customWidth="1"/>
    <col min="3331" max="3331" width="15" bestFit="1" customWidth="1"/>
    <col min="3332" max="3332" width="18.42578125" bestFit="1" customWidth="1"/>
    <col min="3333" max="3333" width="11.85546875" bestFit="1" customWidth="1"/>
    <col min="3334" max="3334" width="16.85546875" bestFit="1" customWidth="1"/>
    <col min="3335" max="3335" width="13.42578125" bestFit="1" customWidth="1"/>
    <col min="3336" max="3336" width="11.85546875" bestFit="1" customWidth="1"/>
    <col min="3337" max="3337" width="8" bestFit="1" customWidth="1"/>
    <col min="3338" max="3338" width="13.42578125" bestFit="1" customWidth="1"/>
    <col min="3339" max="3341" width="13.42578125" customWidth="1"/>
    <col min="3342" max="3342" width="11.85546875" bestFit="1" customWidth="1"/>
    <col min="3343" max="3343" width="8" bestFit="1" customWidth="1"/>
    <col min="3344" max="3344" width="13.42578125" bestFit="1" customWidth="1"/>
    <col min="3345" max="3345" width="13.42578125" customWidth="1"/>
    <col min="3346" max="3346" width="10" customWidth="1"/>
    <col min="3347" max="3347" width="13.42578125" customWidth="1"/>
    <col min="3348" max="3348" width="9.85546875" customWidth="1"/>
    <col min="3349" max="3349" width="13.42578125" customWidth="1"/>
    <col min="3350" max="3350" width="8" customWidth="1"/>
    <col min="3351" max="3351" width="11.85546875" bestFit="1" customWidth="1"/>
    <col min="3352" max="3352" width="8" bestFit="1" customWidth="1"/>
    <col min="3353" max="3353" width="8" customWidth="1"/>
    <col min="3354" max="3354" width="13.42578125" bestFit="1" customWidth="1"/>
    <col min="3355" max="3355" width="9.85546875" customWidth="1"/>
    <col min="3356" max="3356" width="13.42578125" customWidth="1"/>
    <col min="3357" max="3357" width="8" customWidth="1"/>
    <col min="3358" max="3358" width="11.85546875" bestFit="1" customWidth="1"/>
    <col min="3585" max="3585" width="10.140625" customWidth="1"/>
    <col min="3586" max="3586" width="16.140625" bestFit="1" customWidth="1"/>
    <col min="3587" max="3587" width="15" bestFit="1" customWidth="1"/>
    <col min="3588" max="3588" width="18.42578125" bestFit="1" customWidth="1"/>
    <col min="3589" max="3589" width="11.85546875" bestFit="1" customWidth="1"/>
    <col min="3590" max="3590" width="16.85546875" bestFit="1" customWidth="1"/>
    <col min="3591" max="3591" width="13.42578125" bestFit="1" customWidth="1"/>
    <col min="3592" max="3592" width="11.85546875" bestFit="1" customWidth="1"/>
    <col min="3593" max="3593" width="8" bestFit="1" customWidth="1"/>
    <col min="3594" max="3594" width="13.42578125" bestFit="1" customWidth="1"/>
    <col min="3595" max="3597" width="13.42578125" customWidth="1"/>
    <col min="3598" max="3598" width="11.85546875" bestFit="1" customWidth="1"/>
    <col min="3599" max="3599" width="8" bestFit="1" customWidth="1"/>
    <col min="3600" max="3600" width="13.42578125" bestFit="1" customWidth="1"/>
    <col min="3601" max="3601" width="13.42578125" customWidth="1"/>
    <col min="3602" max="3602" width="10" customWidth="1"/>
    <col min="3603" max="3603" width="13.42578125" customWidth="1"/>
    <col min="3604" max="3604" width="9.85546875" customWidth="1"/>
    <col min="3605" max="3605" width="13.42578125" customWidth="1"/>
    <col min="3606" max="3606" width="8" customWidth="1"/>
    <col min="3607" max="3607" width="11.85546875" bestFit="1" customWidth="1"/>
    <col min="3608" max="3608" width="8" bestFit="1" customWidth="1"/>
    <col min="3609" max="3609" width="8" customWidth="1"/>
    <col min="3610" max="3610" width="13.42578125" bestFit="1" customWidth="1"/>
    <col min="3611" max="3611" width="9.85546875" customWidth="1"/>
    <col min="3612" max="3612" width="13.42578125" customWidth="1"/>
    <col min="3613" max="3613" width="8" customWidth="1"/>
    <col min="3614" max="3614" width="11.85546875" bestFit="1" customWidth="1"/>
    <col min="3841" max="3841" width="10.140625" customWidth="1"/>
    <col min="3842" max="3842" width="16.140625" bestFit="1" customWidth="1"/>
    <col min="3843" max="3843" width="15" bestFit="1" customWidth="1"/>
    <col min="3844" max="3844" width="18.42578125" bestFit="1" customWidth="1"/>
    <col min="3845" max="3845" width="11.85546875" bestFit="1" customWidth="1"/>
    <col min="3846" max="3846" width="16.85546875" bestFit="1" customWidth="1"/>
    <col min="3847" max="3847" width="13.42578125" bestFit="1" customWidth="1"/>
    <col min="3848" max="3848" width="11.85546875" bestFit="1" customWidth="1"/>
    <col min="3849" max="3849" width="8" bestFit="1" customWidth="1"/>
    <col min="3850" max="3850" width="13.42578125" bestFit="1" customWidth="1"/>
    <col min="3851" max="3853" width="13.42578125" customWidth="1"/>
    <col min="3854" max="3854" width="11.85546875" bestFit="1" customWidth="1"/>
    <col min="3855" max="3855" width="8" bestFit="1" customWidth="1"/>
    <col min="3856" max="3856" width="13.42578125" bestFit="1" customWidth="1"/>
    <col min="3857" max="3857" width="13.42578125" customWidth="1"/>
    <col min="3858" max="3858" width="10" customWidth="1"/>
    <col min="3859" max="3859" width="13.42578125" customWidth="1"/>
    <col min="3860" max="3860" width="9.85546875" customWidth="1"/>
    <col min="3861" max="3861" width="13.42578125" customWidth="1"/>
    <col min="3862" max="3862" width="8" customWidth="1"/>
    <col min="3863" max="3863" width="11.85546875" bestFit="1" customWidth="1"/>
    <col min="3864" max="3864" width="8" bestFit="1" customWidth="1"/>
    <col min="3865" max="3865" width="8" customWidth="1"/>
    <col min="3866" max="3866" width="13.42578125" bestFit="1" customWidth="1"/>
    <col min="3867" max="3867" width="9.85546875" customWidth="1"/>
    <col min="3868" max="3868" width="13.42578125" customWidth="1"/>
    <col min="3869" max="3869" width="8" customWidth="1"/>
    <col min="3870" max="3870" width="11.85546875" bestFit="1" customWidth="1"/>
    <col min="4097" max="4097" width="10.140625" customWidth="1"/>
    <col min="4098" max="4098" width="16.140625" bestFit="1" customWidth="1"/>
    <col min="4099" max="4099" width="15" bestFit="1" customWidth="1"/>
    <col min="4100" max="4100" width="18.42578125" bestFit="1" customWidth="1"/>
    <col min="4101" max="4101" width="11.85546875" bestFit="1" customWidth="1"/>
    <col min="4102" max="4102" width="16.85546875" bestFit="1" customWidth="1"/>
    <col min="4103" max="4103" width="13.42578125" bestFit="1" customWidth="1"/>
    <col min="4104" max="4104" width="11.85546875" bestFit="1" customWidth="1"/>
    <col min="4105" max="4105" width="8" bestFit="1" customWidth="1"/>
    <col min="4106" max="4106" width="13.42578125" bestFit="1" customWidth="1"/>
    <col min="4107" max="4109" width="13.42578125" customWidth="1"/>
    <col min="4110" max="4110" width="11.85546875" bestFit="1" customWidth="1"/>
    <col min="4111" max="4111" width="8" bestFit="1" customWidth="1"/>
    <col min="4112" max="4112" width="13.42578125" bestFit="1" customWidth="1"/>
    <col min="4113" max="4113" width="13.42578125" customWidth="1"/>
    <col min="4114" max="4114" width="10" customWidth="1"/>
    <col min="4115" max="4115" width="13.42578125" customWidth="1"/>
    <col min="4116" max="4116" width="9.85546875" customWidth="1"/>
    <col min="4117" max="4117" width="13.42578125" customWidth="1"/>
    <col min="4118" max="4118" width="8" customWidth="1"/>
    <col min="4119" max="4119" width="11.85546875" bestFit="1" customWidth="1"/>
    <col min="4120" max="4120" width="8" bestFit="1" customWidth="1"/>
    <col min="4121" max="4121" width="8" customWidth="1"/>
    <col min="4122" max="4122" width="13.42578125" bestFit="1" customWidth="1"/>
    <col min="4123" max="4123" width="9.85546875" customWidth="1"/>
    <col min="4124" max="4124" width="13.42578125" customWidth="1"/>
    <col min="4125" max="4125" width="8" customWidth="1"/>
    <col min="4126" max="4126" width="11.85546875" bestFit="1" customWidth="1"/>
    <col min="4353" max="4353" width="10.140625" customWidth="1"/>
    <col min="4354" max="4354" width="16.140625" bestFit="1" customWidth="1"/>
    <col min="4355" max="4355" width="15" bestFit="1" customWidth="1"/>
    <col min="4356" max="4356" width="18.42578125" bestFit="1" customWidth="1"/>
    <col min="4357" max="4357" width="11.85546875" bestFit="1" customWidth="1"/>
    <col min="4358" max="4358" width="16.85546875" bestFit="1" customWidth="1"/>
    <col min="4359" max="4359" width="13.42578125" bestFit="1" customWidth="1"/>
    <col min="4360" max="4360" width="11.85546875" bestFit="1" customWidth="1"/>
    <col min="4361" max="4361" width="8" bestFit="1" customWidth="1"/>
    <col min="4362" max="4362" width="13.42578125" bestFit="1" customWidth="1"/>
    <col min="4363" max="4365" width="13.42578125" customWidth="1"/>
    <col min="4366" max="4366" width="11.85546875" bestFit="1" customWidth="1"/>
    <col min="4367" max="4367" width="8" bestFit="1" customWidth="1"/>
    <col min="4368" max="4368" width="13.42578125" bestFit="1" customWidth="1"/>
    <col min="4369" max="4369" width="13.42578125" customWidth="1"/>
    <col min="4370" max="4370" width="10" customWidth="1"/>
    <col min="4371" max="4371" width="13.42578125" customWidth="1"/>
    <col min="4372" max="4372" width="9.85546875" customWidth="1"/>
    <col min="4373" max="4373" width="13.42578125" customWidth="1"/>
    <col min="4374" max="4374" width="8" customWidth="1"/>
    <col min="4375" max="4375" width="11.85546875" bestFit="1" customWidth="1"/>
    <col min="4376" max="4376" width="8" bestFit="1" customWidth="1"/>
    <col min="4377" max="4377" width="8" customWidth="1"/>
    <col min="4378" max="4378" width="13.42578125" bestFit="1" customWidth="1"/>
    <col min="4379" max="4379" width="9.85546875" customWidth="1"/>
    <col min="4380" max="4380" width="13.42578125" customWidth="1"/>
    <col min="4381" max="4381" width="8" customWidth="1"/>
    <col min="4382" max="4382" width="11.85546875" bestFit="1" customWidth="1"/>
    <col min="4609" max="4609" width="10.140625" customWidth="1"/>
    <col min="4610" max="4610" width="16.140625" bestFit="1" customWidth="1"/>
    <col min="4611" max="4611" width="15" bestFit="1" customWidth="1"/>
    <col min="4612" max="4612" width="18.42578125" bestFit="1" customWidth="1"/>
    <col min="4613" max="4613" width="11.85546875" bestFit="1" customWidth="1"/>
    <col min="4614" max="4614" width="16.85546875" bestFit="1" customWidth="1"/>
    <col min="4615" max="4615" width="13.42578125" bestFit="1" customWidth="1"/>
    <col min="4616" max="4616" width="11.85546875" bestFit="1" customWidth="1"/>
    <col min="4617" max="4617" width="8" bestFit="1" customWidth="1"/>
    <col min="4618" max="4618" width="13.42578125" bestFit="1" customWidth="1"/>
    <col min="4619" max="4621" width="13.42578125" customWidth="1"/>
    <col min="4622" max="4622" width="11.85546875" bestFit="1" customWidth="1"/>
    <col min="4623" max="4623" width="8" bestFit="1" customWidth="1"/>
    <col min="4624" max="4624" width="13.42578125" bestFit="1" customWidth="1"/>
    <col min="4625" max="4625" width="13.42578125" customWidth="1"/>
    <col min="4626" max="4626" width="10" customWidth="1"/>
    <col min="4627" max="4627" width="13.42578125" customWidth="1"/>
    <col min="4628" max="4628" width="9.85546875" customWidth="1"/>
    <col min="4629" max="4629" width="13.42578125" customWidth="1"/>
    <col min="4630" max="4630" width="8" customWidth="1"/>
    <col min="4631" max="4631" width="11.85546875" bestFit="1" customWidth="1"/>
    <col min="4632" max="4632" width="8" bestFit="1" customWidth="1"/>
    <col min="4633" max="4633" width="8" customWidth="1"/>
    <col min="4634" max="4634" width="13.42578125" bestFit="1" customWidth="1"/>
    <col min="4635" max="4635" width="9.85546875" customWidth="1"/>
    <col min="4636" max="4636" width="13.42578125" customWidth="1"/>
    <col min="4637" max="4637" width="8" customWidth="1"/>
    <col min="4638" max="4638" width="11.85546875" bestFit="1" customWidth="1"/>
    <col min="4865" max="4865" width="10.140625" customWidth="1"/>
    <col min="4866" max="4866" width="16.140625" bestFit="1" customWidth="1"/>
    <col min="4867" max="4867" width="15" bestFit="1" customWidth="1"/>
    <col min="4868" max="4868" width="18.42578125" bestFit="1" customWidth="1"/>
    <col min="4869" max="4869" width="11.85546875" bestFit="1" customWidth="1"/>
    <col min="4870" max="4870" width="16.85546875" bestFit="1" customWidth="1"/>
    <col min="4871" max="4871" width="13.42578125" bestFit="1" customWidth="1"/>
    <col min="4872" max="4872" width="11.85546875" bestFit="1" customWidth="1"/>
    <col min="4873" max="4873" width="8" bestFit="1" customWidth="1"/>
    <col min="4874" max="4874" width="13.42578125" bestFit="1" customWidth="1"/>
    <col min="4875" max="4877" width="13.42578125" customWidth="1"/>
    <col min="4878" max="4878" width="11.85546875" bestFit="1" customWidth="1"/>
    <col min="4879" max="4879" width="8" bestFit="1" customWidth="1"/>
    <col min="4880" max="4880" width="13.42578125" bestFit="1" customWidth="1"/>
    <col min="4881" max="4881" width="13.42578125" customWidth="1"/>
    <col min="4882" max="4882" width="10" customWidth="1"/>
    <col min="4883" max="4883" width="13.42578125" customWidth="1"/>
    <col min="4884" max="4884" width="9.85546875" customWidth="1"/>
    <col min="4885" max="4885" width="13.42578125" customWidth="1"/>
    <col min="4886" max="4886" width="8" customWidth="1"/>
    <col min="4887" max="4887" width="11.85546875" bestFit="1" customWidth="1"/>
    <col min="4888" max="4888" width="8" bestFit="1" customWidth="1"/>
    <col min="4889" max="4889" width="8" customWidth="1"/>
    <col min="4890" max="4890" width="13.42578125" bestFit="1" customWidth="1"/>
    <col min="4891" max="4891" width="9.85546875" customWidth="1"/>
    <col min="4892" max="4892" width="13.42578125" customWidth="1"/>
    <col min="4893" max="4893" width="8" customWidth="1"/>
    <col min="4894" max="4894" width="11.85546875" bestFit="1" customWidth="1"/>
    <col min="5121" max="5121" width="10.140625" customWidth="1"/>
    <col min="5122" max="5122" width="16.140625" bestFit="1" customWidth="1"/>
    <col min="5123" max="5123" width="15" bestFit="1" customWidth="1"/>
    <col min="5124" max="5124" width="18.42578125" bestFit="1" customWidth="1"/>
    <col min="5125" max="5125" width="11.85546875" bestFit="1" customWidth="1"/>
    <col min="5126" max="5126" width="16.85546875" bestFit="1" customWidth="1"/>
    <col min="5127" max="5127" width="13.42578125" bestFit="1" customWidth="1"/>
    <col min="5128" max="5128" width="11.85546875" bestFit="1" customWidth="1"/>
    <col min="5129" max="5129" width="8" bestFit="1" customWidth="1"/>
    <col min="5130" max="5130" width="13.42578125" bestFit="1" customWidth="1"/>
    <col min="5131" max="5133" width="13.42578125" customWidth="1"/>
    <col min="5134" max="5134" width="11.85546875" bestFit="1" customWidth="1"/>
    <col min="5135" max="5135" width="8" bestFit="1" customWidth="1"/>
    <col min="5136" max="5136" width="13.42578125" bestFit="1" customWidth="1"/>
    <col min="5137" max="5137" width="13.42578125" customWidth="1"/>
    <col min="5138" max="5138" width="10" customWidth="1"/>
    <col min="5139" max="5139" width="13.42578125" customWidth="1"/>
    <col min="5140" max="5140" width="9.85546875" customWidth="1"/>
    <col min="5141" max="5141" width="13.42578125" customWidth="1"/>
    <col min="5142" max="5142" width="8" customWidth="1"/>
    <col min="5143" max="5143" width="11.85546875" bestFit="1" customWidth="1"/>
    <col min="5144" max="5144" width="8" bestFit="1" customWidth="1"/>
    <col min="5145" max="5145" width="8" customWidth="1"/>
    <col min="5146" max="5146" width="13.42578125" bestFit="1" customWidth="1"/>
    <col min="5147" max="5147" width="9.85546875" customWidth="1"/>
    <col min="5148" max="5148" width="13.42578125" customWidth="1"/>
    <col min="5149" max="5149" width="8" customWidth="1"/>
    <col min="5150" max="5150" width="11.85546875" bestFit="1" customWidth="1"/>
    <col min="5377" max="5377" width="10.140625" customWidth="1"/>
    <col min="5378" max="5378" width="16.140625" bestFit="1" customWidth="1"/>
    <col min="5379" max="5379" width="15" bestFit="1" customWidth="1"/>
    <col min="5380" max="5380" width="18.42578125" bestFit="1" customWidth="1"/>
    <col min="5381" max="5381" width="11.85546875" bestFit="1" customWidth="1"/>
    <col min="5382" max="5382" width="16.85546875" bestFit="1" customWidth="1"/>
    <col min="5383" max="5383" width="13.42578125" bestFit="1" customWidth="1"/>
    <col min="5384" max="5384" width="11.85546875" bestFit="1" customWidth="1"/>
    <col min="5385" max="5385" width="8" bestFit="1" customWidth="1"/>
    <col min="5386" max="5386" width="13.42578125" bestFit="1" customWidth="1"/>
    <col min="5387" max="5389" width="13.42578125" customWidth="1"/>
    <col min="5390" max="5390" width="11.85546875" bestFit="1" customWidth="1"/>
    <col min="5391" max="5391" width="8" bestFit="1" customWidth="1"/>
    <col min="5392" max="5392" width="13.42578125" bestFit="1" customWidth="1"/>
    <col min="5393" max="5393" width="13.42578125" customWidth="1"/>
    <col min="5394" max="5394" width="10" customWidth="1"/>
    <col min="5395" max="5395" width="13.42578125" customWidth="1"/>
    <col min="5396" max="5396" width="9.85546875" customWidth="1"/>
    <col min="5397" max="5397" width="13.42578125" customWidth="1"/>
    <col min="5398" max="5398" width="8" customWidth="1"/>
    <col min="5399" max="5399" width="11.85546875" bestFit="1" customWidth="1"/>
    <col min="5400" max="5400" width="8" bestFit="1" customWidth="1"/>
    <col min="5401" max="5401" width="8" customWidth="1"/>
    <col min="5402" max="5402" width="13.42578125" bestFit="1" customWidth="1"/>
    <col min="5403" max="5403" width="9.85546875" customWidth="1"/>
    <col min="5404" max="5404" width="13.42578125" customWidth="1"/>
    <col min="5405" max="5405" width="8" customWidth="1"/>
    <col min="5406" max="5406" width="11.85546875" bestFit="1" customWidth="1"/>
    <col min="5633" max="5633" width="10.140625" customWidth="1"/>
    <col min="5634" max="5634" width="16.140625" bestFit="1" customWidth="1"/>
    <col min="5635" max="5635" width="15" bestFit="1" customWidth="1"/>
    <col min="5636" max="5636" width="18.42578125" bestFit="1" customWidth="1"/>
    <col min="5637" max="5637" width="11.85546875" bestFit="1" customWidth="1"/>
    <col min="5638" max="5638" width="16.85546875" bestFit="1" customWidth="1"/>
    <col min="5639" max="5639" width="13.42578125" bestFit="1" customWidth="1"/>
    <col min="5640" max="5640" width="11.85546875" bestFit="1" customWidth="1"/>
    <col min="5641" max="5641" width="8" bestFit="1" customWidth="1"/>
    <col min="5642" max="5642" width="13.42578125" bestFit="1" customWidth="1"/>
    <col min="5643" max="5645" width="13.42578125" customWidth="1"/>
    <col min="5646" max="5646" width="11.85546875" bestFit="1" customWidth="1"/>
    <col min="5647" max="5647" width="8" bestFit="1" customWidth="1"/>
    <col min="5648" max="5648" width="13.42578125" bestFit="1" customWidth="1"/>
    <col min="5649" max="5649" width="13.42578125" customWidth="1"/>
    <col min="5650" max="5650" width="10" customWidth="1"/>
    <col min="5651" max="5651" width="13.42578125" customWidth="1"/>
    <col min="5652" max="5652" width="9.85546875" customWidth="1"/>
    <col min="5653" max="5653" width="13.42578125" customWidth="1"/>
    <col min="5654" max="5654" width="8" customWidth="1"/>
    <col min="5655" max="5655" width="11.85546875" bestFit="1" customWidth="1"/>
    <col min="5656" max="5656" width="8" bestFit="1" customWidth="1"/>
    <col min="5657" max="5657" width="8" customWidth="1"/>
    <col min="5658" max="5658" width="13.42578125" bestFit="1" customWidth="1"/>
    <col min="5659" max="5659" width="9.85546875" customWidth="1"/>
    <col min="5660" max="5660" width="13.42578125" customWidth="1"/>
    <col min="5661" max="5661" width="8" customWidth="1"/>
    <col min="5662" max="5662" width="11.85546875" bestFit="1" customWidth="1"/>
    <col min="5889" max="5889" width="10.140625" customWidth="1"/>
    <col min="5890" max="5890" width="16.140625" bestFit="1" customWidth="1"/>
    <col min="5891" max="5891" width="15" bestFit="1" customWidth="1"/>
    <col min="5892" max="5892" width="18.42578125" bestFit="1" customWidth="1"/>
    <col min="5893" max="5893" width="11.85546875" bestFit="1" customWidth="1"/>
    <col min="5894" max="5894" width="16.85546875" bestFit="1" customWidth="1"/>
    <col min="5895" max="5895" width="13.42578125" bestFit="1" customWidth="1"/>
    <col min="5896" max="5896" width="11.85546875" bestFit="1" customWidth="1"/>
    <col min="5897" max="5897" width="8" bestFit="1" customWidth="1"/>
    <col min="5898" max="5898" width="13.42578125" bestFit="1" customWidth="1"/>
    <col min="5899" max="5901" width="13.42578125" customWidth="1"/>
    <col min="5902" max="5902" width="11.85546875" bestFit="1" customWidth="1"/>
    <col min="5903" max="5903" width="8" bestFit="1" customWidth="1"/>
    <col min="5904" max="5904" width="13.42578125" bestFit="1" customWidth="1"/>
    <col min="5905" max="5905" width="13.42578125" customWidth="1"/>
    <col min="5906" max="5906" width="10" customWidth="1"/>
    <col min="5907" max="5907" width="13.42578125" customWidth="1"/>
    <col min="5908" max="5908" width="9.85546875" customWidth="1"/>
    <col min="5909" max="5909" width="13.42578125" customWidth="1"/>
    <col min="5910" max="5910" width="8" customWidth="1"/>
    <col min="5911" max="5911" width="11.85546875" bestFit="1" customWidth="1"/>
    <col min="5912" max="5912" width="8" bestFit="1" customWidth="1"/>
    <col min="5913" max="5913" width="8" customWidth="1"/>
    <col min="5914" max="5914" width="13.42578125" bestFit="1" customWidth="1"/>
    <col min="5915" max="5915" width="9.85546875" customWidth="1"/>
    <col min="5916" max="5916" width="13.42578125" customWidth="1"/>
    <col min="5917" max="5917" width="8" customWidth="1"/>
    <col min="5918" max="5918" width="11.85546875" bestFit="1" customWidth="1"/>
    <col min="6145" max="6145" width="10.140625" customWidth="1"/>
    <col min="6146" max="6146" width="16.140625" bestFit="1" customWidth="1"/>
    <col min="6147" max="6147" width="15" bestFit="1" customWidth="1"/>
    <col min="6148" max="6148" width="18.42578125" bestFit="1" customWidth="1"/>
    <col min="6149" max="6149" width="11.85546875" bestFit="1" customWidth="1"/>
    <col min="6150" max="6150" width="16.85546875" bestFit="1" customWidth="1"/>
    <col min="6151" max="6151" width="13.42578125" bestFit="1" customWidth="1"/>
    <col min="6152" max="6152" width="11.85546875" bestFit="1" customWidth="1"/>
    <col min="6153" max="6153" width="8" bestFit="1" customWidth="1"/>
    <col min="6154" max="6154" width="13.42578125" bestFit="1" customWidth="1"/>
    <col min="6155" max="6157" width="13.42578125" customWidth="1"/>
    <col min="6158" max="6158" width="11.85546875" bestFit="1" customWidth="1"/>
    <col min="6159" max="6159" width="8" bestFit="1" customWidth="1"/>
    <col min="6160" max="6160" width="13.42578125" bestFit="1" customWidth="1"/>
    <col min="6161" max="6161" width="13.42578125" customWidth="1"/>
    <col min="6162" max="6162" width="10" customWidth="1"/>
    <col min="6163" max="6163" width="13.42578125" customWidth="1"/>
    <col min="6164" max="6164" width="9.85546875" customWidth="1"/>
    <col min="6165" max="6165" width="13.42578125" customWidth="1"/>
    <col min="6166" max="6166" width="8" customWidth="1"/>
    <col min="6167" max="6167" width="11.85546875" bestFit="1" customWidth="1"/>
    <col min="6168" max="6168" width="8" bestFit="1" customWidth="1"/>
    <col min="6169" max="6169" width="8" customWidth="1"/>
    <col min="6170" max="6170" width="13.42578125" bestFit="1" customWidth="1"/>
    <col min="6171" max="6171" width="9.85546875" customWidth="1"/>
    <col min="6172" max="6172" width="13.42578125" customWidth="1"/>
    <col min="6173" max="6173" width="8" customWidth="1"/>
    <col min="6174" max="6174" width="11.85546875" bestFit="1" customWidth="1"/>
    <col min="6401" max="6401" width="10.140625" customWidth="1"/>
    <col min="6402" max="6402" width="16.140625" bestFit="1" customWidth="1"/>
    <col min="6403" max="6403" width="15" bestFit="1" customWidth="1"/>
    <col min="6404" max="6404" width="18.42578125" bestFit="1" customWidth="1"/>
    <col min="6405" max="6405" width="11.85546875" bestFit="1" customWidth="1"/>
    <col min="6406" max="6406" width="16.85546875" bestFit="1" customWidth="1"/>
    <col min="6407" max="6407" width="13.42578125" bestFit="1" customWidth="1"/>
    <col min="6408" max="6408" width="11.85546875" bestFit="1" customWidth="1"/>
    <col min="6409" max="6409" width="8" bestFit="1" customWidth="1"/>
    <col min="6410" max="6410" width="13.42578125" bestFit="1" customWidth="1"/>
    <col min="6411" max="6413" width="13.42578125" customWidth="1"/>
    <col min="6414" max="6414" width="11.85546875" bestFit="1" customWidth="1"/>
    <col min="6415" max="6415" width="8" bestFit="1" customWidth="1"/>
    <col min="6416" max="6416" width="13.42578125" bestFit="1" customWidth="1"/>
    <col min="6417" max="6417" width="13.42578125" customWidth="1"/>
    <col min="6418" max="6418" width="10" customWidth="1"/>
    <col min="6419" max="6419" width="13.42578125" customWidth="1"/>
    <col min="6420" max="6420" width="9.85546875" customWidth="1"/>
    <col min="6421" max="6421" width="13.42578125" customWidth="1"/>
    <col min="6422" max="6422" width="8" customWidth="1"/>
    <col min="6423" max="6423" width="11.85546875" bestFit="1" customWidth="1"/>
    <col min="6424" max="6424" width="8" bestFit="1" customWidth="1"/>
    <col min="6425" max="6425" width="8" customWidth="1"/>
    <col min="6426" max="6426" width="13.42578125" bestFit="1" customWidth="1"/>
    <col min="6427" max="6427" width="9.85546875" customWidth="1"/>
    <col min="6428" max="6428" width="13.42578125" customWidth="1"/>
    <col min="6429" max="6429" width="8" customWidth="1"/>
    <col min="6430" max="6430" width="11.85546875" bestFit="1" customWidth="1"/>
    <col min="6657" max="6657" width="10.140625" customWidth="1"/>
    <col min="6658" max="6658" width="16.140625" bestFit="1" customWidth="1"/>
    <col min="6659" max="6659" width="15" bestFit="1" customWidth="1"/>
    <col min="6660" max="6660" width="18.42578125" bestFit="1" customWidth="1"/>
    <col min="6661" max="6661" width="11.85546875" bestFit="1" customWidth="1"/>
    <col min="6662" max="6662" width="16.85546875" bestFit="1" customWidth="1"/>
    <col min="6663" max="6663" width="13.42578125" bestFit="1" customWidth="1"/>
    <col min="6664" max="6664" width="11.85546875" bestFit="1" customWidth="1"/>
    <col min="6665" max="6665" width="8" bestFit="1" customWidth="1"/>
    <col min="6666" max="6666" width="13.42578125" bestFit="1" customWidth="1"/>
    <col min="6667" max="6669" width="13.42578125" customWidth="1"/>
    <col min="6670" max="6670" width="11.85546875" bestFit="1" customWidth="1"/>
    <col min="6671" max="6671" width="8" bestFit="1" customWidth="1"/>
    <col min="6672" max="6672" width="13.42578125" bestFit="1" customWidth="1"/>
    <col min="6673" max="6673" width="13.42578125" customWidth="1"/>
    <col min="6674" max="6674" width="10" customWidth="1"/>
    <col min="6675" max="6675" width="13.42578125" customWidth="1"/>
    <col min="6676" max="6676" width="9.85546875" customWidth="1"/>
    <col min="6677" max="6677" width="13.42578125" customWidth="1"/>
    <col min="6678" max="6678" width="8" customWidth="1"/>
    <col min="6679" max="6679" width="11.85546875" bestFit="1" customWidth="1"/>
    <col min="6680" max="6680" width="8" bestFit="1" customWidth="1"/>
    <col min="6681" max="6681" width="8" customWidth="1"/>
    <col min="6682" max="6682" width="13.42578125" bestFit="1" customWidth="1"/>
    <col min="6683" max="6683" width="9.85546875" customWidth="1"/>
    <col min="6684" max="6684" width="13.42578125" customWidth="1"/>
    <col min="6685" max="6685" width="8" customWidth="1"/>
    <col min="6686" max="6686" width="11.85546875" bestFit="1" customWidth="1"/>
    <col min="6913" max="6913" width="10.140625" customWidth="1"/>
    <col min="6914" max="6914" width="16.140625" bestFit="1" customWidth="1"/>
    <col min="6915" max="6915" width="15" bestFit="1" customWidth="1"/>
    <col min="6916" max="6916" width="18.42578125" bestFit="1" customWidth="1"/>
    <col min="6917" max="6917" width="11.85546875" bestFit="1" customWidth="1"/>
    <col min="6918" max="6918" width="16.85546875" bestFit="1" customWidth="1"/>
    <col min="6919" max="6919" width="13.42578125" bestFit="1" customWidth="1"/>
    <col min="6920" max="6920" width="11.85546875" bestFit="1" customWidth="1"/>
    <col min="6921" max="6921" width="8" bestFit="1" customWidth="1"/>
    <col min="6922" max="6922" width="13.42578125" bestFit="1" customWidth="1"/>
    <col min="6923" max="6925" width="13.42578125" customWidth="1"/>
    <col min="6926" max="6926" width="11.85546875" bestFit="1" customWidth="1"/>
    <col min="6927" max="6927" width="8" bestFit="1" customWidth="1"/>
    <col min="6928" max="6928" width="13.42578125" bestFit="1" customWidth="1"/>
    <col min="6929" max="6929" width="13.42578125" customWidth="1"/>
    <col min="6930" max="6930" width="10" customWidth="1"/>
    <col min="6931" max="6931" width="13.42578125" customWidth="1"/>
    <col min="6932" max="6932" width="9.85546875" customWidth="1"/>
    <col min="6933" max="6933" width="13.42578125" customWidth="1"/>
    <col min="6934" max="6934" width="8" customWidth="1"/>
    <col min="6935" max="6935" width="11.85546875" bestFit="1" customWidth="1"/>
    <col min="6936" max="6936" width="8" bestFit="1" customWidth="1"/>
    <col min="6937" max="6937" width="8" customWidth="1"/>
    <col min="6938" max="6938" width="13.42578125" bestFit="1" customWidth="1"/>
    <col min="6939" max="6939" width="9.85546875" customWidth="1"/>
    <col min="6940" max="6940" width="13.42578125" customWidth="1"/>
    <col min="6941" max="6941" width="8" customWidth="1"/>
    <col min="6942" max="6942" width="11.85546875" bestFit="1" customWidth="1"/>
    <col min="7169" max="7169" width="10.140625" customWidth="1"/>
    <col min="7170" max="7170" width="16.140625" bestFit="1" customWidth="1"/>
    <col min="7171" max="7171" width="15" bestFit="1" customWidth="1"/>
    <col min="7172" max="7172" width="18.42578125" bestFit="1" customWidth="1"/>
    <col min="7173" max="7173" width="11.85546875" bestFit="1" customWidth="1"/>
    <col min="7174" max="7174" width="16.85546875" bestFit="1" customWidth="1"/>
    <col min="7175" max="7175" width="13.42578125" bestFit="1" customWidth="1"/>
    <col min="7176" max="7176" width="11.85546875" bestFit="1" customWidth="1"/>
    <col min="7177" max="7177" width="8" bestFit="1" customWidth="1"/>
    <col min="7178" max="7178" width="13.42578125" bestFit="1" customWidth="1"/>
    <col min="7179" max="7181" width="13.42578125" customWidth="1"/>
    <col min="7182" max="7182" width="11.85546875" bestFit="1" customWidth="1"/>
    <col min="7183" max="7183" width="8" bestFit="1" customWidth="1"/>
    <col min="7184" max="7184" width="13.42578125" bestFit="1" customWidth="1"/>
    <col min="7185" max="7185" width="13.42578125" customWidth="1"/>
    <col min="7186" max="7186" width="10" customWidth="1"/>
    <col min="7187" max="7187" width="13.42578125" customWidth="1"/>
    <col min="7188" max="7188" width="9.85546875" customWidth="1"/>
    <col min="7189" max="7189" width="13.42578125" customWidth="1"/>
    <col min="7190" max="7190" width="8" customWidth="1"/>
    <col min="7191" max="7191" width="11.85546875" bestFit="1" customWidth="1"/>
    <col min="7192" max="7192" width="8" bestFit="1" customWidth="1"/>
    <col min="7193" max="7193" width="8" customWidth="1"/>
    <col min="7194" max="7194" width="13.42578125" bestFit="1" customWidth="1"/>
    <col min="7195" max="7195" width="9.85546875" customWidth="1"/>
    <col min="7196" max="7196" width="13.42578125" customWidth="1"/>
    <col min="7197" max="7197" width="8" customWidth="1"/>
    <col min="7198" max="7198" width="11.85546875" bestFit="1" customWidth="1"/>
    <col min="7425" max="7425" width="10.140625" customWidth="1"/>
    <col min="7426" max="7426" width="16.140625" bestFit="1" customWidth="1"/>
    <col min="7427" max="7427" width="15" bestFit="1" customWidth="1"/>
    <col min="7428" max="7428" width="18.42578125" bestFit="1" customWidth="1"/>
    <col min="7429" max="7429" width="11.85546875" bestFit="1" customWidth="1"/>
    <col min="7430" max="7430" width="16.85546875" bestFit="1" customWidth="1"/>
    <col min="7431" max="7431" width="13.42578125" bestFit="1" customWidth="1"/>
    <col min="7432" max="7432" width="11.85546875" bestFit="1" customWidth="1"/>
    <col min="7433" max="7433" width="8" bestFit="1" customWidth="1"/>
    <col min="7434" max="7434" width="13.42578125" bestFit="1" customWidth="1"/>
    <col min="7435" max="7437" width="13.42578125" customWidth="1"/>
    <col min="7438" max="7438" width="11.85546875" bestFit="1" customWidth="1"/>
    <col min="7439" max="7439" width="8" bestFit="1" customWidth="1"/>
    <col min="7440" max="7440" width="13.42578125" bestFit="1" customWidth="1"/>
    <col min="7441" max="7441" width="13.42578125" customWidth="1"/>
    <col min="7442" max="7442" width="10" customWidth="1"/>
    <col min="7443" max="7443" width="13.42578125" customWidth="1"/>
    <col min="7444" max="7444" width="9.85546875" customWidth="1"/>
    <col min="7445" max="7445" width="13.42578125" customWidth="1"/>
    <col min="7446" max="7446" width="8" customWidth="1"/>
    <col min="7447" max="7447" width="11.85546875" bestFit="1" customWidth="1"/>
    <col min="7448" max="7448" width="8" bestFit="1" customWidth="1"/>
    <col min="7449" max="7449" width="8" customWidth="1"/>
    <col min="7450" max="7450" width="13.42578125" bestFit="1" customWidth="1"/>
    <col min="7451" max="7451" width="9.85546875" customWidth="1"/>
    <col min="7452" max="7452" width="13.42578125" customWidth="1"/>
    <col min="7453" max="7453" width="8" customWidth="1"/>
    <col min="7454" max="7454" width="11.85546875" bestFit="1" customWidth="1"/>
    <col min="7681" max="7681" width="10.140625" customWidth="1"/>
    <col min="7682" max="7682" width="16.140625" bestFit="1" customWidth="1"/>
    <col min="7683" max="7683" width="15" bestFit="1" customWidth="1"/>
    <col min="7684" max="7684" width="18.42578125" bestFit="1" customWidth="1"/>
    <col min="7685" max="7685" width="11.85546875" bestFit="1" customWidth="1"/>
    <col min="7686" max="7686" width="16.85546875" bestFit="1" customWidth="1"/>
    <col min="7687" max="7687" width="13.42578125" bestFit="1" customWidth="1"/>
    <col min="7688" max="7688" width="11.85546875" bestFit="1" customWidth="1"/>
    <col min="7689" max="7689" width="8" bestFit="1" customWidth="1"/>
    <col min="7690" max="7690" width="13.42578125" bestFit="1" customWidth="1"/>
    <col min="7691" max="7693" width="13.42578125" customWidth="1"/>
    <col min="7694" max="7694" width="11.85546875" bestFit="1" customWidth="1"/>
    <col min="7695" max="7695" width="8" bestFit="1" customWidth="1"/>
    <col min="7696" max="7696" width="13.42578125" bestFit="1" customWidth="1"/>
    <col min="7697" max="7697" width="13.42578125" customWidth="1"/>
    <col min="7698" max="7698" width="10" customWidth="1"/>
    <col min="7699" max="7699" width="13.42578125" customWidth="1"/>
    <col min="7700" max="7700" width="9.85546875" customWidth="1"/>
    <col min="7701" max="7701" width="13.42578125" customWidth="1"/>
    <col min="7702" max="7702" width="8" customWidth="1"/>
    <col min="7703" max="7703" width="11.85546875" bestFit="1" customWidth="1"/>
    <col min="7704" max="7704" width="8" bestFit="1" customWidth="1"/>
    <col min="7705" max="7705" width="8" customWidth="1"/>
    <col min="7706" max="7706" width="13.42578125" bestFit="1" customWidth="1"/>
    <col min="7707" max="7707" width="9.85546875" customWidth="1"/>
    <col min="7708" max="7708" width="13.42578125" customWidth="1"/>
    <col min="7709" max="7709" width="8" customWidth="1"/>
    <col min="7710" max="7710" width="11.85546875" bestFit="1" customWidth="1"/>
    <col min="7937" max="7937" width="10.140625" customWidth="1"/>
    <col min="7938" max="7938" width="16.140625" bestFit="1" customWidth="1"/>
    <col min="7939" max="7939" width="15" bestFit="1" customWidth="1"/>
    <col min="7940" max="7940" width="18.42578125" bestFit="1" customWidth="1"/>
    <col min="7941" max="7941" width="11.85546875" bestFit="1" customWidth="1"/>
    <col min="7942" max="7942" width="16.85546875" bestFit="1" customWidth="1"/>
    <col min="7943" max="7943" width="13.42578125" bestFit="1" customWidth="1"/>
    <col min="7944" max="7944" width="11.85546875" bestFit="1" customWidth="1"/>
    <col min="7945" max="7945" width="8" bestFit="1" customWidth="1"/>
    <col min="7946" max="7946" width="13.42578125" bestFit="1" customWidth="1"/>
    <col min="7947" max="7949" width="13.42578125" customWidth="1"/>
    <col min="7950" max="7950" width="11.85546875" bestFit="1" customWidth="1"/>
    <col min="7951" max="7951" width="8" bestFit="1" customWidth="1"/>
    <col min="7952" max="7952" width="13.42578125" bestFit="1" customWidth="1"/>
    <col min="7953" max="7953" width="13.42578125" customWidth="1"/>
    <col min="7954" max="7954" width="10" customWidth="1"/>
    <col min="7955" max="7955" width="13.42578125" customWidth="1"/>
    <col min="7956" max="7956" width="9.85546875" customWidth="1"/>
    <col min="7957" max="7957" width="13.42578125" customWidth="1"/>
    <col min="7958" max="7958" width="8" customWidth="1"/>
    <col min="7959" max="7959" width="11.85546875" bestFit="1" customWidth="1"/>
    <col min="7960" max="7960" width="8" bestFit="1" customWidth="1"/>
    <col min="7961" max="7961" width="8" customWidth="1"/>
    <col min="7962" max="7962" width="13.42578125" bestFit="1" customWidth="1"/>
    <col min="7963" max="7963" width="9.85546875" customWidth="1"/>
    <col min="7964" max="7964" width="13.42578125" customWidth="1"/>
    <col min="7965" max="7965" width="8" customWidth="1"/>
    <col min="7966" max="7966" width="11.85546875" bestFit="1" customWidth="1"/>
    <col min="8193" max="8193" width="10.140625" customWidth="1"/>
    <col min="8194" max="8194" width="16.140625" bestFit="1" customWidth="1"/>
    <col min="8195" max="8195" width="15" bestFit="1" customWidth="1"/>
    <col min="8196" max="8196" width="18.42578125" bestFit="1" customWidth="1"/>
    <col min="8197" max="8197" width="11.85546875" bestFit="1" customWidth="1"/>
    <col min="8198" max="8198" width="16.85546875" bestFit="1" customWidth="1"/>
    <col min="8199" max="8199" width="13.42578125" bestFit="1" customWidth="1"/>
    <col min="8200" max="8200" width="11.85546875" bestFit="1" customWidth="1"/>
    <col min="8201" max="8201" width="8" bestFit="1" customWidth="1"/>
    <col min="8202" max="8202" width="13.42578125" bestFit="1" customWidth="1"/>
    <col min="8203" max="8205" width="13.42578125" customWidth="1"/>
    <col min="8206" max="8206" width="11.85546875" bestFit="1" customWidth="1"/>
    <col min="8207" max="8207" width="8" bestFit="1" customWidth="1"/>
    <col min="8208" max="8208" width="13.42578125" bestFit="1" customWidth="1"/>
    <col min="8209" max="8209" width="13.42578125" customWidth="1"/>
    <col min="8210" max="8210" width="10" customWidth="1"/>
    <col min="8211" max="8211" width="13.42578125" customWidth="1"/>
    <col min="8212" max="8212" width="9.85546875" customWidth="1"/>
    <col min="8213" max="8213" width="13.42578125" customWidth="1"/>
    <col min="8214" max="8214" width="8" customWidth="1"/>
    <col min="8215" max="8215" width="11.85546875" bestFit="1" customWidth="1"/>
    <col min="8216" max="8216" width="8" bestFit="1" customWidth="1"/>
    <col min="8217" max="8217" width="8" customWidth="1"/>
    <col min="8218" max="8218" width="13.42578125" bestFit="1" customWidth="1"/>
    <col min="8219" max="8219" width="9.85546875" customWidth="1"/>
    <col min="8220" max="8220" width="13.42578125" customWidth="1"/>
    <col min="8221" max="8221" width="8" customWidth="1"/>
    <col min="8222" max="8222" width="11.85546875" bestFit="1" customWidth="1"/>
    <col min="8449" max="8449" width="10.140625" customWidth="1"/>
    <col min="8450" max="8450" width="16.140625" bestFit="1" customWidth="1"/>
    <col min="8451" max="8451" width="15" bestFit="1" customWidth="1"/>
    <col min="8452" max="8452" width="18.42578125" bestFit="1" customWidth="1"/>
    <col min="8453" max="8453" width="11.85546875" bestFit="1" customWidth="1"/>
    <col min="8454" max="8454" width="16.85546875" bestFit="1" customWidth="1"/>
    <col min="8455" max="8455" width="13.42578125" bestFit="1" customWidth="1"/>
    <col min="8456" max="8456" width="11.85546875" bestFit="1" customWidth="1"/>
    <col min="8457" max="8457" width="8" bestFit="1" customWidth="1"/>
    <col min="8458" max="8458" width="13.42578125" bestFit="1" customWidth="1"/>
    <col min="8459" max="8461" width="13.42578125" customWidth="1"/>
    <col min="8462" max="8462" width="11.85546875" bestFit="1" customWidth="1"/>
    <col min="8463" max="8463" width="8" bestFit="1" customWidth="1"/>
    <col min="8464" max="8464" width="13.42578125" bestFit="1" customWidth="1"/>
    <col min="8465" max="8465" width="13.42578125" customWidth="1"/>
    <col min="8466" max="8466" width="10" customWidth="1"/>
    <col min="8467" max="8467" width="13.42578125" customWidth="1"/>
    <col min="8468" max="8468" width="9.85546875" customWidth="1"/>
    <col min="8469" max="8469" width="13.42578125" customWidth="1"/>
    <col min="8470" max="8470" width="8" customWidth="1"/>
    <col min="8471" max="8471" width="11.85546875" bestFit="1" customWidth="1"/>
    <col min="8472" max="8472" width="8" bestFit="1" customWidth="1"/>
    <col min="8473" max="8473" width="8" customWidth="1"/>
    <col min="8474" max="8474" width="13.42578125" bestFit="1" customWidth="1"/>
    <col min="8475" max="8475" width="9.85546875" customWidth="1"/>
    <col min="8476" max="8476" width="13.42578125" customWidth="1"/>
    <col min="8477" max="8477" width="8" customWidth="1"/>
    <col min="8478" max="8478" width="11.85546875" bestFit="1" customWidth="1"/>
    <col min="8705" max="8705" width="10.140625" customWidth="1"/>
    <col min="8706" max="8706" width="16.140625" bestFit="1" customWidth="1"/>
    <col min="8707" max="8707" width="15" bestFit="1" customWidth="1"/>
    <col min="8708" max="8708" width="18.42578125" bestFit="1" customWidth="1"/>
    <col min="8709" max="8709" width="11.85546875" bestFit="1" customWidth="1"/>
    <col min="8710" max="8710" width="16.85546875" bestFit="1" customWidth="1"/>
    <col min="8711" max="8711" width="13.42578125" bestFit="1" customWidth="1"/>
    <col min="8712" max="8712" width="11.85546875" bestFit="1" customWidth="1"/>
    <col min="8713" max="8713" width="8" bestFit="1" customWidth="1"/>
    <col min="8714" max="8714" width="13.42578125" bestFit="1" customWidth="1"/>
    <col min="8715" max="8717" width="13.42578125" customWidth="1"/>
    <col min="8718" max="8718" width="11.85546875" bestFit="1" customWidth="1"/>
    <col min="8719" max="8719" width="8" bestFit="1" customWidth="1"/>
    <col min="8720" max="8720" width="13.42578125" bestFit="1" customWidth="1"/>
    <col min="8721" max="8721" width="13.42578125" customWidth="1"/>
    <col min="8722" max="8722" width="10" customWidth="1"/>
    <col min="8723" max="8723" width="13.42578125" customWidth="1"/>
    <col min="8724" max="8724" width="9.85546875" customWidth="1"/>
    <col min="8725" max="8725" width="13.42578125" customWidth="1"/>
    <col min="8726" max="8726" width="8" customWidth="1"/>
    <col min="8727" max="8727" width="11.85546875" bestFit="1" customWidth="1"/>
    <col min="8728" max="8728" width="8" bestFit="1" customWidth="1"/>
    <col min="8729" max="8729" width="8" customWidth="1"/>
    <col min="8730" max="8730" width="13.42578125" bestFit="1" customWidth="1"/>
    <col min="8731" max="8731" width="9.85546875" customWidth="1"/>
    <col min="8732" max="8732" width="13.42578125" customWidth="1"/>
    <col min="8733" max="8733" width="8" customWidth="1"/>
    <col min="8734" max="8734" width="11.85546875" bestFit="1" customWidth="1"/>
    <col min="8961" max="8961" width="10.140625" customWidth="1"/>
    <col min="8962" max="8962" width="16.140625" bestFit="1" customWidth="1"/>
    <col min="8963" max="8963" width="15" bestFit="1" customWidth="1"/>
    <col min="8964" max="8964" width="18.42578125" bestFit="1" customWidth="1"/>
    <col min="8965" max="8965" width="11.85546875" bestFit="1" customWidth="1"/>
    <col min="8966" max="8966" width="16.85546875" bestFit="1" customWidth="1"/>
    <col min="8967" max="8967" width="13.42578125" bestFit="1" customWidth="1"/>
    <col min="8968" max="8968" width="11.85546875" bestFit="1" customWidth="1"/>
    <col min="8969" max="8969" width="8" bestFit="1" customWidth="1"/>
    <col min="8970" max="8970" width="13.42578125" bestFit="1" customWidth="1"/>
    <col min="8971" max="8973" width="13.42578125" customWidth="1"/>
    <col min="8974" max="8974" width="11.85546875" bestFit="1" customWidth="1"/>
    <col min="8975" max="8975" width="8" bestFit="1" customWidth="1"/>
    <col min="8976" max="8976" width="13.42578125" bestFit="1" customWidth="1"/>
    <col min="8977" max="8977" width="13.42578125" customWidth="1"/>
    <col min="8978" max="8978" width="10" customWidth="1"/>
    <col min="8979" max="8979" width="13.42578125" customWidth="1"/>
    <col min="8980" max="8980" width="9.85546875" customWidth="1"/>
    <col min="8981" max="8981" width="13.42578125" customWidth="1"/>
    <col min="8982" max="8982" width="8" customWidth="1"/>
    <col min="8983" max="8983" width="11.85546875" bestFit="1" customWidth="1"/>
    <col min="8984" max="8984" width="8" bestFit="1" customWidth="1"/>
    <col min="8985" max="8985" width="8" customWidth="1"/>
    <col min="8986" max="8986" width="13.42578125" bestFit="1" customWidth="1"/>
    <col min="8987" max="8987" width="9.85546875" customWidth="1"/>
    <col min="8988" max="8988" width="13.42578125" customWidth="1"/>
    <col min="8989" max="8989" width="8" customWidth="1"/>
    <col min="8990" max="8990" width="11.85546875" bestFit="1" customWidth="1"/>
    <col min="9217" max="9217" width="10.140625" customWidth="1"/>
    <col min="9218" max="9218" width="16.140625" bestFit="1" customWidth="1"/>
    <col min="9219" max="9219" width="15" bestFit="1" customWidth="1"/>
    <col min="9220" max="9220" width="18.42578125" bestFit="1" customWidth="1"/>
    <col min="9221" max="9221" width="11.85546875" bestFit="1" customWidth="1"/>
    <col min="9222" max="9222" width="16.85546875" bestFit="1" customWidth="1"/>
    <col min="9223" max="9223" width="13.42578125" bestFit="1" customWidth="1"/>
    <col min="9224" max="9224" width="11.85546875" bestFit="1" customWidth="1"/>
    <col min="9225" max="9225" width="8" bestFit="1" customWidth="1"/>
    <col min="9226" max="9226" width="13.42578125" bestFit="1" customWidth="1"/>
    <col min="9227" max="9229" width="13.42578125" customWidth="1"/>
    <col min="9230" max="9230" width="11.85546875" bestFit="1" customWidth="1"/>
    <col min="9231" max="9231" width="8" bestFit="1" customWidth="1"/>
    <col min="9232" max="9232" width="13.42578125" bestFit="1" customWidth="1"/>
    <col min="9233" max="9233" width="13.42578125" customWidth="1"/>
    <col min="9234" max="9234" width="10" customWidth="1"/>
    <col min="9235" max="9235" width="13.42578125" customWidth="1"/>
    <col min="9236" max="9236" width="9.85546875" customWidth="1"/>
    <col min="9237" max="9237" width="13.42578125" customWidth="1"/>
    <col min="9238" max="9238" width="8" customWidth="1"/>
    <col min="9239" max="9239" width="11.85546875" bestFit="1" customWidth="1"/>
    <col min="9240" max="9240" width="8" bestFit="1" customWidth="1"/>
    <col min="9241" max="9241" width="8" customWidth="1"/>
    <col min="9242" max="9242" width="13.42578125" bestFit="1" customWidth="1"/>
    <col min="9243" max="9243" width="9.85546875" customWidth="1"/>
    <col min="9244" max="9244" width="13.42578125" customWidth="1"/>
    <col min="9245" max="9245" width="8" customWidth="1"/>
    <col min="9246" max="9246" width="11.85546875" bestFit="1" customWidth="1"/>
    <col min="9473" max="9473" width="10.140625" customWidth="1"/>
    <col min="9474" max="9474" width="16.140625" bestFit="1" customWidth="1"/>
    <col min="9475" max="9475" width="15" bestFit="1" customWidth="1"/>
    <col min="9476" max="9476" width="18.42578125" bestFit="1" customWidth="1"/>
    <col min="9477" max="9477" width="11.85546875" bestFit="1" customWidth="1"/>
    <col min="9478" max="9478" width="16.85546875" bestFit="1" customWidth="1"/>
    <col min="9479" max="9479" width="13.42578125" bestFit="1" customWidth="1"/>
    <col min="9480" max="9480" width="11.85546875" bestFit="1" customWidth="1"/>
    <col min="9481" max="9481" width="8" bestFit="1" customWidth="1"/>
    <col min="9482" max="9482" width="13.42578125" bestFit="1" customWidth="1"/>
    <col min="9483" max="9485" width="13.42578125" customWidth="1"/>
    <col min="9486" max="9486" width="11.85546875" bestFit="1" customWidth="1"/>
    <col min="9487" max="9487" width="8" bestFit="1" customWidth="1"/>
    <col min="9488" max="9488" width="13.42578125" bestFit="1" customWidth="1"/>
    <col min="9489" max="9489" width="13.42578125" customWidth="1"/>
    <col min="9490" max="9490" width="10" customWidth="1"/>
    <col min="9491" max="9491" width="13.42578125" customWidth="1"/>
    <col min="9492" max="9492" width="9.85546875" customWidth="1"/>
    <col min="9493" max="9493" width="13.42578125" customWidth="1"/>
    <col min="9494" max="9494" width="8" customWidth="1"/>
    <col min="9495" max="9495" width="11.85546875" bestFit="1" customWidth="1"/>
    <col min="9496" max="9496" width="8" bestFit="1" customWidth="1"/>
    <col min="9497" max="9497" width="8" customWidth="1"/>
    <col min="9498" max="9498" width="13.42578125" bestFit="1" customWidth="1"/>
    <col min="9499" max="9499" width="9.85546875" customWidth="1"/>
    <col min="9500" max="9500" width="13.42578125" customWidth="1"/>
    <col min="9501" max="9501" width="8" customWidth="1"/>
    <col min="9502" max="9502" width="11.85546875" bestFit="1" customWidth="1"/>
    <col min="9729" max="9729" width="10.140625" customWidth="1"/>
    <col min="9730" max="9730" width="16.140625" bestFit="1" customWidth="1"/>
    <col min="9731" max="9731" width="15" bestFit="1" customWidth="1"/>
    <col min="9732" max="9732" width="18.42578125" bestFit="1" customWidth="1"/>
    <col min="9733" max="9733" width="11.85546875" bestFit="1" customWidth="1"/>
    <col min="9734" max="9734" width="16.85546875" bestFit="1" customWidth="1"/>
    <col min="9735" max="9735" width="13.42578125" bestFit="1" customWidth="1"/>
    <col min="9736" max="9736" width="11.85546875" bestFit="1" customWidth="1"/>
    <col min="9737" max="9737" width="8" bestFit="1" customWidth="1"/>
    <col min="9738" max="9738" width="13.42578125" bestFit="1" customWidth="1"/>
    <col min="9739" max="9741" width="13.42578125" customWidth="1"/>
    <col min="9742" max="9742" width="11.85546875" bestFit="1" customWidth="1"/>
    <col min="9743" max="9743" width="8" bestFit="1" customWidth="1"/>
    <col min="9744" max="9744" width="13.42578125" bestFit="1" customWidth="1"/>
    <col min="9745" max="9745" width="13.42578125" customWidth="1"/>
    <col min="9746" max="9746" width="10" customWidth="1"/>
    <col min="9747" max="9747" width="13.42578125" customWidth="1"/>
    <col min="9748" max="9748" width="9.85546875" customWidth="1"/>
    <col min="9749" max="9749" width="13.42578125" customWidth="1"/>
    <col min="9750" max="9750" width="8" customWidth="1"/>
    <col min="9751" max="9751" width="11.85546875" bestFit="1" customWidth="1"/>
    <col min="9752" max="9752" width="8" bestFit="1" customWidth="1"/>
    <col min="9753" max="9753" width="8" customWidth="1"/>
    <col min="9754" max="9754" width="13.42578125" bestFit="1" customWidth="1"/>
    <col min="9755" max="9755" width="9.85546875" customWidth="1"/>
    <col min="9756" max="9756" width="13.42578125" customWidth="1"/>
    <col min="9757" max="9757" width="8" customWidth="1"/>
    <col min="9758" max="9758" width="11.85546875" bestFit="1" customWidth="1"/>
    <col min="9985" max="9985" width="10.140625" customWidth="1"/>
    <col min="9986" max="9986" width="16.140625" bestFit="1" customWidth="1"/>
    <col min="9987" max="9987" width="15" bestFit="1" customWidth="1"/>
    <col min="9988" max="9988" width="18.42578125" bestFit="1" customWidth="1"/>
    <col min="9989" max="9989" width="11.85546875" bestFit="1" customWidth="1"/>
    <col min="9990" max="9990" width="16.85546875" bestFit="1" customWidth="1"/>
    <col min="9991" max="9991" width="13.42578125" bestFit="1" customWidth="1"/>
    <col min="9992" max="9992" width="11.85546875" bestFit="1" customWidth="1"/>
    <col min="9993" max="9993" width="8" bestFit="1" customWidth="1"/>
    <col min="9994" max="9994" width="13.42578125" bestFit="1" customWidth="1"/>
    <col min="9995" max="9997" width="13.42578125" customWidth="1"/>
    <col min="9998" max="9998" width="11.85546875" bestFit="1" customWidth="1"/>
    <col min="9999" max="9999" width="8" bestFit="1" customWidth="1"/>
    <col min="10000" max="10000" width="13.42578125" bestFit="1" customWidth="1"/>
    <col min="10001" max="10001" width="13.42578125" customWidth="1"/>
    <col min="10002" max="10002" width="10" customWidth="1"/>
    <col min="10003" max="10003" width="13.42578125" customWidth="1"/>
    <col min="10004" max="10004" width="9.85546875" customWidth="1"/>
    <col min="10005" max="10005" width="13.42578125" customWidth="1"/>
    <col min="10006" max="10006" width="8" customWidth="1"/>
    <col min="10007" max="10007" width="11.85546875" bestFit="1" customWidth="1"/>
    <col min="10008" max="10008" width="8" bestFit="1" customWidth="1"/>
    <col min="10009" max="10009" width="8" customWidth="1"/>
    <col min="10010" max="10010" width="13.42578125" bestFit="1" customWidth="1"/>
    <col min="10011" max="10011" width="9.85546875" customWidth="1"/>
    <col min="10012" max="10012" width="13.42578125" customWidth="1"/>
    <col min="10013" max="10013" width="8" customWidth="1"/>
    <col min="10014" max="10014" width="11.85546875" bestFit="1" customWidth="1"/>
    <col min="10241" max="10241" width="10.140625" customWidth="1"/>
    <col min="10242" max="10242" width="16.140625" bestFit="1" customWidth="1"/>
    <col min="10243" max="10243" width="15" bestFit="1" customWidth="1"/>
    <col min="10244" max="10244" width="18.42578125" bestFit="1" customWidth="1"/>
    <col min="10245" max="10245" width="11.85546875" bestFit="1" customWidth="1"/>
    <col min="10246" max="10246" width="16.85546875" bestFit="1" customWidth="1"/>
    <col min="10247" max="10247" width="13.42578125" bestFit="1" customWidth="1"/>
    <col min="10248" max="10248" width="11.85546875" bestFit="1" customWidth="1"/>
    <col min="10249" max="10249" width="8" bestFit="1" customWidth="1"/>
    <col min="10250" max="10250" width="13.42578125" bestFit="1" customWidth="1"/>
    <col min="10251" max="10253" width="13.42578125" customWidth="1"/>
    <col min="10254" max="10254" width="11.85546875" bestFit="1" customWidth="1"/>
    <col min="10255" max="10255" width="8" bestFit="1" customWidth="1"/>
    <col min="10256" max="10256" width="13.42578125" bestFit="1" customWidth="1"/>
    <col min="10257" max="10257" width="13.42578125" customWidth="1"/>
    <col min="10258" max="10258" width="10" customWidth="1"/>
    <col min="10259" max="10259" width="13.42578125" customWidth="1"/>
    <col min="10260" max="10260" width="9.85546875" customWidth="1"/>
    <col min="10261" max="10261" width="13.42578125" customWidth="1"/>
    <col min="10262" max="10262" width="8" customWidth="1"/>
    <col min="10263" max="10263" width="11.85546875" bestFit="1" customWidth="1"/>
    <col min="10264" max="10264" width="8" bestFit="1" customWidth="1"/>
    <col min="10265" max="10265" width="8" customWidth="1"/>
    <col min="10266" max="10266" width="13.42578125" bestFit="1" customWidth="1"/>
    <col min="10267" max="10267" width="9.85546875" customWidth="1"/>
    <col min="10268" max="10268" width="13.42578125" customWidth="1"/>
    <col min="10269" max="10269" width="8" customWidth="1"/>
    <col min="10270" max="10270" width="11.85546875" bestFit="1" customWidth="1"/>
    <col min="10497" max="10497" width="10.140625" customWidth="1"/>
    <col min="10498" max="10498" width="16.140625" bestFit="1" customWidth="1"/>
    <col min="10499" max="10499" width="15" bestFit="1" customWidth="1"/>
    <col min="10500" max="10500" width="18.42578125" bestFit="1" customWidth="1"/>
    <col min="10501" max="10501" width="11.85546875" bestFit="1" customWidth="1"/>
    <col min="10502" max="10502" width="16.85546875" bestFit="1" customWidth="1"/>
    <col min="10503" max="10503" width="13.42578125" bestFit="1" customWidth="1"/>
    <col min="10504" max="10504" width="11.85546875" bestFit="1" customWidth="1"/>
    <col min="10505" max="10505" width="8" bestFit="1" customWidth="1"/>
    <col min="10506" max="10506" width="13.42578125" bestFit="1" customWidth="1"/>
    <col min="10507" max="10509" width="13.42578125" customWidth="1"/>
    <col min="10510" max="10510" width="11.85546875" bestFit="1" customWidth="1"/>
    <col min="10511" max="10511" width="8" bestFit="1" customWidth="1"/>
    <col min="10512" max="10512" width="13.42578125" bestFit="1" customWidth="1"/>
    <col min="10513" max="10513" width="13.42578125" customWidth="1"/>
    <col min="10514" max="10514" width="10" customWidth="1"/>
    <col min="10515" max="10515" width="13.42578125" customWidth="1"/>
    <col min="10516" max="10516" width="9.85546875" customWidth="1"/>
    <col min="10517" max="10517" width="13.42578125" customWidth="1"/>
    <col min="10518" max="10518" width="8" customWidth="1"/>
    <col min="10519" max="10519" width="11.85546875" bestFit="1" customWidth="1"/>
    <col min="10520" max="10520" width="8" bestFit="1" customWidth="1"/>
    <col min="10521" max="10521" width="8" customWidth="1"/>
    <col min="10522" max="10522" width="13.42578125" bestFit="1" customWidth="1"/>
    <col min="10523" max="10523" width="9.85546875" customWidth="1"/>
    <col min="10524" max="10524" width="13.42578125" customWidth="1"/>
    <col min="10525" max="10525" width="8" customWidth="1"/>
    <col min="10526" max="10526" width="11.85546875" bestFit="1" customWidth="1"/>
    <col min="10753" max="10753" width="10.140625" customWidth="1"/>
    <col min="10754" max="10754" width="16.140625" bestFit="1" customWidth="1"/>
    <col min="10755" max="10755" width="15" bestFit="1" customWidth="1"/>
    <col min="10756" max="10756" width="18.42578125" bestFit="1" customWidth="1"/>
    <col min="10757" max="10757" width="11.85546875" bestFit="1" customWidth="1"/>
    <col min="10758" max="10758" width="16.85546875" bestFit="1" customWidth="1"/>
    <col min="10759" max="10759" width="13.42578125" bestFit="1" customWidth="1"/>
    <col min="10760" max="10760" width="11.85546875" bestFit="1" customWidth="1"/>
    <col min="10761" max="10761" width="8" bestFit="1" customWidth="1"/>
    <col min="10762" max="10762" width="13.42578125" bestFit="1" customWidth="1"/>
    <col min="10763" max="10765" width="13.42578125" customWidth="1"/>
    <col min="10766" max="10766" width="11.85546875" bestFit="1" customWidth="1"/>
    <col min="10767" max="10767" width="8" bestFit="1" customWidth="1"/>
    <col min="10768" max="10768" width="13.42578125" bestFit="1" customWidth="1"/>
    <col min="10769" max="10769" width="13.42578125" customWidth="1"/>
    <col min="10770" max="10770" width="10" customWidth="1"/>
    <col min="10771" max="10771" width="13.42578125" customWidth="1"/>
    <col min="10772" max="10772" width="9.85546875" customWidth="1"/>
    <col min="10773" max="10773" width="13.42578125" customWidth="1"/>
    <col min="10774" max="10774" width="8" customWidth="1"/>
    <col min="10775" max="10775" width="11.85546875" bestFit="1" customWidth="1"/>
    <col min="10776" max="10776" width="8" bestFit="1" customWidth="1"/>
    <col min="10777" max="10777" width="8" customWidth="1"/>
    <col min="10778" max="10778" width="13.42578125" bestFit="1" customWidth="1"/>
    <col min="10779" max="10779" width="9.85546875" customWidth="1"/>
    <col min="10780" max="10780" width="13.42578125" customWidth="1"/>
    <col min="10781" max="10781" width="8" customWidth="1"/>
    <col min="10782" max="10782" width="11.85546875" bestFit="1" customWidth="1"/>
    <col min="11009" max="11009" width="10.140625" customWidth="1"/>
    <col min="11010" max="11010" width="16.140625" bestFit="1" customWidth="1"/>
    <col min="11011" max="11011" width="15" bestFit="1" customWidth="1"/>
    <col min="11012" max="11012" width="18.42578125" bestFit="1" customWidth="1"/>
    <col min="11013" max="11013" width="11.85546875" bestFit="1" customWidth="1"/>
    <col min="11014" max="11014" width="16.85546875" bestFit="1" customWidth="1"/>
    <col min="11015" max="11015" width="13.42578125" bestFit="1" customWidth="1"/>
    <col min="11016" max="11016" width="11.85546875" bestFit="1" customWidth="1"/>
    <col min="11017" max="11017" width="8" bestFit="1" customWidth="1"/>
    <col min="11018" max="11018" width="13.42578125" bestFit="1" customWidth="1"/>
    <col min="11019" max="11021" width="13.42578125" customWidth="1"/>
    <col min="11022" max="11022" width="11.85546875" bestFit="1" customWidth="1"/>
    <col min="11023" max="11023" width="8" bestFit="1" customWidth="1"/>
    <col min="11024" max="11024" width="13.42578125" bestFit="1" customWidth="1"/>
    <col min="11025" max="11025" width="13.42578125" customWidth="1"/>
    <col min="11026" max="11026" width="10" customWidth="1"/>
    <col min="11027" max="11027" width="13.42578125" customWidth="1"/>
    <col min="11028" max="11028" width="9.85546875" customWidth="1"/>
    <col min="11029" max="11029" width="13.42578125" customWidth="1"/>
    <col min="11030" max="11030" width="8" customWidth="1"/>
    <col min="11031" max="11031" width="11.85546875" bestFit="1" customWidth="1"/>
    <col min="11032" max="11032" width="8" bestFit="1" customWidth="1"/>
    <col min="11033" max="11033" width="8" customWidth="1"/>
    <col min="11034" max="11034" width="13.42578125" bestFit="1" customWidth="1"/>
    <col min="11035" max="11035" width="9.85546875" customWidth="1"/>
    <col min="11036" max="11036" width="13.42578125" customWidth="1"/>
    <col min="11037" max="11037" width="8" customWidth="1"/>
    <col min="11038" max="11038" width="11.85546875" bestFit="1" customWidth="1"/>
    <col min="11265" max="11265" width="10.140625" customWidth="1"/>
    <col min="11266" max="11266" width="16.140625" bestFit="1" customWidth="1"/>
    <col min="11267" max="11267" width="15" bestFit="1" customWidth="1"/>
    <col min="11268" max="11268" width="18.42578125" bestFit="1" customWidth="1"/>
    <col min="11269" max="11269" width="11.85546875" bestFit="1" customWidth="1"/>
    <col min="11270" max="11270" width="16.85546875" bestFit="1" customWidth="1"/>
    <col min="11271" max="11271" width="13.42578125" bestFit="1" customWidth="1"/>
    <col min="11272" max="11272" width="11.85546875" bestFit="1" customWidth="1"/>
    <col min="11273" max="11273" width="8" bestFit="1" customWidth="1"/>
    <col min="11274" max="11274" width="13.42578125" bestFit="1" customWidth="1"/>
    <col min="11275" max="11277" width="13.42578125" customWidth="1"/>
    <col min="11278" max="11278" width="11.85546875" bestFit="1" customWidth="1"/>
    <col min="11279" max="11279" width="8" bestFit="1" customWidth="1"/>
    <col min="11280" max="11280" width="13.42578125" bestFit="1" customWidth="1"/>
    <col min="11281" max="11281" width="13.42578125" customWidth="1"/>
    <col min="11282" max="11282" width="10" customWidth="1"/>
    <col min="11283" max="11283" width="13.42578125" customWidth="1"/>
    <col min="11284" max="11284" width="9.85546875" customWidth="1"/>
    <col min="11285" max="11285" width="13.42578125" customWidth="1"/>
    <col min="11286" max="11286" width="8" customWidth="1"/>
    <col min="11287" max="11287" width="11.85546875" bestFit="1" customWidth="1"/>
    <col min="11288" max="11288" width="8" bestFit="1" customWidth="1"/>
    <col min="11289" max="11289" width="8" customWidth="1"/>
    <col min="11290" max="11290" width="13.42578125" bestFit="1" customWidth="1"/>
    <col min="11291" max="11291" width="9.85546875" customWidth="1"/>
    <col min="11292" max="11292" width="13.42578125" customWidth="1"/>
    <col min="11293" max="11293" width="8" customWidth="1"/>
    <col min="11294" max="11294" width="11.85546875" bestFit="1" customWidth="1"/>
    <col min="11521" max="11521" width="10.140625" customWidth="1"/>
    <col min="11522" max="11522" width="16.140625" bestFit="1" customWidth="1"/>
    <col min="11523" max="11523" width="15" bestFit="1" customWidth="1"/>
    <col min="11524" max="11524" width="18.42578125" bestFit="1" customWidth="1"/>
    <col min="11525" max="11525" width="11.85546875" bestFit="1" customWidth="1"/>
    <col min="11526" max="11526" width="16.85546875" bestFit="1" customWidth="1"/>
    <col min="11527" max="11527" width="13.42578125" bestFit="1" customWidth="1"/>
    <col min="11528" max="11528" width="11.85546875" bestFit="1" customWidth="1"/>
    <col min="11529" max="11529" width="8" bestFit="1" customWidth="1"/>
    <col min="11530" max="11530" width="13.42578125" bestFit="1" customWidth="1"/>
    <col min="11531" max="11533" width="13.42578125" customWidth="1"/>
    <col min="11534" max="11534" width="11.85546875" bestFit="1" customWidth="1"/>
    <col min="11535" max="11535" width="8" bestFit="1" customWidth="1"/>
    <col min="11536" max="11536" width="13.42578125" bestFit="1" customWidth="1"/>
    <col min="11537" max="11537" width="13.42578125" customWidth="1"/>
    <col min="11538" max="11538" width="10" customWidth="1"/>
    <col min="11539" max="11539" width="13.42578125" customWidth="1"/>
    <col min="11540" max="11540" width="9.85546875" customWidth="1"/>
    <col min="11541" max="11541" width="13.42578125" customWidth="1"/>
    <col min="11542" max="11542" width="8" customWidth="1"/>
    <col min="11543" max="11543" width="11.85546875" bestFit="1" customWidth="1"/>
    <col min="11544" max="11544" width="8" bestFit="1" customWidth="1"/>
    <col min="11545" max="11545" width="8" customWidth="1"/>
    <col min="11546" max="11546" width="13.42578125" bestFit="1" customWidth="1"/>
    <col min="11547" max="11547" width="9.85546875" customWidth="1"/>
    <col min="11548" max="11548" width="13.42578125" customWidth="1"/>
    <col min="11549" max="11549" width="8" customWidth="1"/>
    <col min="11550" max="11550" width="11.85546875" bestFit="1" customWidth="1"/>
    <col min="11777" max="11777" width="10.140625" customWidth="1"/>
    <col min="11778" max="11778" width="16.140625" bestFit="1" customWidth="1"/>
    <col min="11779" max="11779" width="15" bestFit="1" customWidth="1"/>
    <col min="11780" max="11780" width="18.42578125" bestFit="1" customWidth="1"/>
    <col min="11781" max="11781" width="11.85546875" bestFit="1" customWidth="1"/>
    <col min="11782" max="11782" width="16.85546875" bestFit="1" customWidth="1"/>
    <col min="11783" max="11783" width="13.42578125" bestFit="1" customWidth="1"/>
    <col min="11784" max="11784" width="11.85546875" bestFit="1" customWidth="1"/>
    <col min="11785" max="11785" width="8" bestFit="1" customWidth="1"/>
    <col min="11786" max="11786" width="13.42578125" bestFit="1" customWidth="1"/>
    <col min="11787" max="11789" width="13.42578125" customWidth="1"/>
    <col min="11790" max="11790" width="11.85546875" bestFit="1" customWidth="1"/>
    <col min="11791" max="11791" width="8" bestFit="1" customWidth="1"/>
    <col min="11792" max="11792" width="13.42578125" bestFit="1" customWidth="1"/>
    <col min="11793" max="11793" width="13.42578125" customWidth="1"/>
    <col min="11794" max="11794" width="10" customWidth="1"/>
    <col min="11795" max="11795" width="13.42578125" customWidth="1"/>
    <col min="11796" max="11796" width="9.85546875" customWidth="1"/>
    <col min="11797" max="11797" width="13.42578125" customWidth="1"/>
    <col min="11798" max="11798" width="8" customWidth="1"/>
    <col min="11799" max="11799" width="11.85546875" bestFit="1" customWidth="1"/>
    <col min="11800" max="11800" width="8" bestFit="1" customWidth="1"/>
    <col min="11801" max="11801" width="8" customWidth="1"/>
    <col min="11802" max="11802" width="13.42578125" bestFit="1" customWidth="1"/>
    <col min="11803" max="11803" width="9.85546875" customWidth="1"/>
    <col min="11804" max="11804" width="13.42578125" customWidth="1"/>
    <col min="11805" max="11805" width="8" customWidth="1"/>
    <col min="11806" max="11806" width="11.85546875" bestFit="1" customWidth="1"/>
    <col min="12033" max="12033" width="10.140625" customWidth="1"/>
    <col min="12034" max="12034" width="16.140625" bestFit="1" customWidth="1"/>
    <col min="12035" max="12035" width="15" bestFit="1" customWidth="1"/>
    <col min="12036" max="12036" width="18.42578125" bestFit="1" customWidth="1"/>
    <col min="12037" max="12037" width="11.85546875" bestFit="1" customWidth="1"/>
    <col min="12038" max="12038" width="16.85546875" bestFit="1" customWidth="1"/>
    <col min="12039" max="12039" width="13.42578125" bestFit="1" customWidth="1"/>
    <col min="12040" max="12040" width="11.85546875" bestFit="1" customWidth="1"/>
    <col min="12041" max="12041" width="8" bestFit="1" customWidth="1"/>
    <col min="12042" max="12042" width="13.42578125" bestFit="1" customWidth="1"/>
    <col min="12043" max="12045" width="13.42578125" customWidth="1"/>
    <col min="12046" max="12046" width="11.85546875" bestFit="1" customWidth="1"/>
    <col min="12047" max="12047" width="8" bestFit="1" customWidth="1"/>
    <col min="12048" max="12048" width="13.42578125" bestFit="1" customWidth="1"/>
    <col min="12049" max="12049" width="13.42578125" customWidth="1"/>
    <col min="12050" max="12050" width="10" customWidth="1"/>
    <col min="12051" max="12051" width="13.42578125" customWidth="1"/>
    <col min="12052" max="12052" width="9.85546875" customWidth="1"/>
    <col min="12053" max="12053" width="13.42578125" customWidth="1"/>
    <col min="12054" max="12054" width="8" customWidth="1"/>
    <col min="12055" max="12055" width="11.85546875" bestFit="1" customWidth="1"/>
    <col min="12056" max="12056" width="8" bestFit="1" customWidth="1"/>
    <col min="12057" max="12057" width="8" customWidth="1"/>
    <col min="12058" max="12058" width="13.42578125" bestFit="1" customWidth="1"/>
    <col min="12059" max="12059" width="9.85546875" customWidth="1"/>
    <col min="12060" max="12060" width="13.42578125" customWidth="1"/>
    <col min="12061" max="12061" width="8" customWidth="1"/>
    <col min="12062" max="12062" width="11.85546875" bestFit="1" customWidth="1"/>
    <col min="12289" max="12289" width="10.140625" customWidth="1"/>
    <col min="12290" max="12290" width="16.140625" bestFit="1" customWidth="1"/>
    <col min="12291" max="12291" width="15" bestFit="1" customWidth="1"/>
    <col min="12292" max="12292" width="18.42578125" bestFit="1" customWidth="1"/>
    <col min="12293" max="12293" width="11.85546875" bestFit="1" customWidth="1"/>
    <col min="12294" max="12294" width="16.85546875" bestFit="1" customWidth="1"/>
    <col min="12295" max="12295" width="13.42578125" bestFit="1" customWidth="1"/>
    <col min="12296" max="12296" width="11.85546875" bestFit="1" customWidth="1"/>
    <col min="12297" max="12297" width="8" bestFit="1" customWidth="1"/>
    <col min="12298" max="12298" width="13.42578125" bestFit="1" customWidth="1"/>
    <col min="12299" max="12301" width="13.42578125" customWidth="1"/>
    <col min="12302" max="12302" width="11.85546875" bestFit="1" customWidth="1"/>
    <col min="12303" max="12303" width="8" bestFit="1" customWidth="1"/>
    <col min="12304" max="12304" width="13.42578125" bestFit="1" customWidth="1"/>
    <col min="12305" max="12305" width="13.42578125" customWidth="1"/>
    <col min="12306" max="12306" width="10" customWidth="1"/>
    <col min="12307" max="12307" width="13.42578125" customWidth="1"/>
    <col min="12308" max="12308" width="9.85546875" customWidth="1"/>
    <col min="12309" max="12309" width="13.42578125" customWidth="1"/>
    <col min="12310" max="12310" width="8" customWidth="1"/>
    <col min="12311" max="12311" width="11.85546875" bestFit="1" customWidth="1"/>
    <col min="12312" max="12312" width="8" bestFit="1" customWidth="1"/>
    <col min="12313" max="12313" width="8" customWidth="1"/>
    <col min="12314" max="12314" width="13.42578125" bestFit="1" customWidth="1"/>
    <col min="12315" max="12315" width="9.85546875" customWidth="1"/>
    <col min="12316" max="12316" width="13.42578125" customWidth="1"/>
    <col min="12317" max="12317" width="8" customWidth="1"/>
    <col min="12318" max="12318" width="11.85546875" bestFit="1" customWidth="1"/>
    <col min="12545" max="12545" width="10.140625" customWidth="1"/>
    <col min="12546" max="12546" width="16.140625" bestFit="1" customWidth="1"/>
    <col min="12547" max="12547" width="15" bestFit="1" customWidth="1"/>
    <col min="12548" max="12548" width="18.42578125" bestFit="1" customWidth="1"/>
    <col min="12549" max="12549" width="11.85546875" bestFit="1" customWidth="1"/>
    <col min="12550" max="12550" width="16.85546875" bestFit="1" customWidth="1"/>
    <col min="12551" max="12551" width="13.42578125" bestFit="1" customWidth="1"/>
    <col min="12552" max="12552" width="11.85546875" bestFit="1" customWidth="1"/>
    <col min="12553" max="12553" width="8" bestFit="1" customWidth="1"/>
    <col min="12554" max="12554" width="13.42578125" bestFit="1" customWidth="1"/>
    <col min="12555" max="12557" width="13.42578125" customWidth="1"/>
    <col min="12558" max="12558" width="11.85546875" bestFit="1" customWidth="1"/>
    <col min="12559" max="12559" width="8" bestFit="1" customWidth="1"/>
    <col min="12560" max="12560" width="13.42578125" bestFit="1" customWidth="1"/>
    <col min="12561" max="12561" width="13.42578125" customWidth="1"/>
    <col min="12562" max="12562" width="10" customWidth="1"/>
    <col min="12563" max="12563" width="13.42578125" customWidth="1"/>
    <col min="12564" max="12564" width="9.85546875" customWidth="1"/>
    <col min="12565" max="12565" width="13.42578125" customWidth="1"/>
    <col min="12566" max="12566" width="8" customWidth="1"/>
    <col min="12567" max="12567" width="11.85546875" bestFit="1" customWidth="1"/>
    <col min="12568" max="12568" width="8" bestFit="1" customWidth="1"/>
    <col min="12569" max="12569" width="8" customWidth="1"/>
    <col min="12570" max="12570" width="13.42578125" bestFit="1" customWidth="1"/>
    <col min="12571" max="12571" width="9.85546875" customWidth="1"/>
    <col min="12572" max="12572" width="13.42578125" customWidth="1"/>
    <col min="12573" max="12573" width="8" customWidth="1"/>
    <col min="12574" max="12574" width="11.85546875" bestFit="1" customWidth="1"/>
    <col min="12801" max="12801" width="10.140625" customWidth="1"/>
    <col min="12802" max="12802" width="16.140625" bestFit="1" customWidth="1"/>
    <col min="12803" max="12803" width="15" bestFit="1" customWidth="1"/>
    <col min="12804" max="12804" width="18.42578125" bestFit="1" customWidth="1"/>
    <col min="12805" max="12805" width="11.85546875" bestFit="1" customWidth="1"/>
    <col min="12806" max="12806" width="16.85546875" bestFit="1" customWidth="1"/>
    <col min="12807" max="12807" width="13.42578125" bestFit="1" customWidth="1"/>
    <col min="12808" max="12808" width="11.85546875" bestFit="1" customWidth="1"/>
    <col min="12809" max="12809" width="8" bestFit="1" customWidth="1"/>
    <col min="12810" max="12810" width="13.42578125" bestFit="1" customWidth="1"/>
    <col min="12811" max="12813" width="13.42578125" customWidth="1"/>
    <col min="12814" max="12814" width="11.85546875" bestFit="1" customWidth="1"/>
    <col min="12815" max="12815" width="8" bestFit="1" customWidth="1"/>
    <col min="12816" max="12816" width="13.42578125" bestFit="1" customWidth="1"/>
    <col min="12817" max="12817" width="13.42578125" customWidth="1"/>
    <col min="12818" max="12818" width="10" customWidth="1"/>
    <col min="12819" max="12819" width="13.42578125" customWidth="1"/>
    <col min="12820" max="12820" width="9.85546875" customWidth="1"/>
    <col min="12821" max="12821" width="13.42578125" customWidth="1"/>
    <col min="12822" max="12822" width="8" customWidth="1"/>
    <col min="12823" max="12823" width="11.85546875" bestFit="1" customWidth="1"/>
    <col min="12824" max="12824" width="8" bestFit="1" customWidth="1"/>
    <col min="12825" max="12825" width="8" customWidth="1"/>
    <col min="12826" max="12826" width="13.42578125" bestFit="1" customWidth="1"/>
    <col min="12827" max="12827" width="9.85546875" customWidth="1"/>
    <col min="12828" max="12828" width="13.42578125" customWidth="1"/>
    <col min="12829" max="12829" width="8" customWidth="1"/>
    <col min="12830" max="12830" width="11.85546875" bestFit="1" customWidth="1"/>
    <col min="13057" max="13057" width="10.140625" customWidth="1"/>
    <col min="13058" max="13058" width="16.140625" bestFit="1" customWidth="1"/>
    <col min="13059" max="13059" width="15" bestFit="1" customWidth="1"/>
    <col min="13060" max="13060" width="18.42578125" bestFit="1" customWidth="1"/>
    <col min="13061" max="13061" width="11.85546875" bestFit="1" customWidth="1"/>
    <col min="13062" max="13062" width="16.85546875" bestFit="1" customWidth="1"/>
    <col min="13063" max="13063" width="13.42578125" bestFit="1" customWidth="1"/>
    <col min="13064" max="13064" width="11.85546875" bestFit="1" customWidth="1"/>
    <col min="13065" max="13065" width="8" bestFit="1" customWidth="1"/>
    <col min="13066" max="13066" width="13.42578125" bestFit="1" customWidth="1"/>
    <col min="13067" max="13069" width="13.42578125" customWidth="1"/>
    <col min="13070" max="13070" width="11.85546875" bestFit="1" customWidth="1"/>
    <col min="13071" max="13071" width="8" bestFit="1" customWidth="1"/>
    <col min="13072" max="13072" width="13.42578125" bestFit="1" customWidth="1"/>
    <col min="13073" max="13073" width="13.42578125" customWidth="1"/>
    <col min="13074" max="13074" width="10" customWidth="1"/>
    <col min="13075" max="13075" width="13.42578125" customWidth="1"/>
    <col min="13076" max="13076" width="9.85546875" customWidth="1"/>
    <col min="13077" max="13077" width="13.42578125" customWidth="1"/>
    <col min="13078" max="13078" width="8" customWidth="1"/>
    <col min="13079" max="13079" width="11.85546875" bestFit="1" customWidth="1"/>
    <col min="13080" max="13080" width="8" bestFit="1" customWidth="1"/>
    <col min="13081" max="13081" width="8" customWidth="1"/>
    <col min="13082" max="13082" width="13.42578125" bestFit="1" customWidth="1"/>
    <col min="13083" max="13083" width="9.85546875" customWidth="1"/>
    <col min="13084" max="13084" width="13.42578125" customWidth="1"/>
    <col min="13085" max="13085" width="8" customWidth="1"/>
    <col min="13086" max="13086" width="11.85546875" bestFit="1" customWidth="1"/>
    <col min="13313" max="13313" width="10.140625" customWidth="1"/>
    <col min="13314" max="13314" width="16.140625" bestFit="1" customWidth="1"/>
    <col min="13315" max="13315" width="15" bestFit="1" customWidth="1"/>
    <col min="13316" max="13316" width="18.42578125" bestFit="1" customWidth="1"/>
    <col min="13317" max="13317" width="11.85546875" bestFit="1" customWidth="1"/>
    <col min="13318" max="13318" width="16.85546875" bestFit="1" customWidth="1"/>
    <col min="13319" max="13319" width="13.42578125" bestFit="1" customWidth="1"/>
    <col min="13320" max="13320" width="11.85546875" bestFit="1" customWidth="1"/>
    <col min="13321" max="13321" width="8" bestFit="1" customWidth="1"/>
    <col min="13322" max="13322" width="13.42578125" bestFit="1" customWidth="1"/>
    <col min="13323" max="13325" width="13.42578125" customWidth="1"/>
    <col min="13326" max="13326" width="11.85546875" bestFit="1" customWidth="1"/>
    <col min="13327" max="13327" width="8" bestFit="1" customWidth="1"/>
    <col min="13328" max="13328" width="13.42578125" bestFit="1" customWidth="1"/>
    <col min="13329" max="13329" width="13.42578125" customWidth="1"/>
    <col min="13330" max="13330" width="10" customWidth="1"/>
    <col min="13331" max="13331" width="13.42578125" customWidth="1"/>
    <col min="13332" max="13332" width="9.85546875" customWidth="1"/>
    <col min="13333" max="13333" width="13.42578125" customWidth="1"/>
    <col min="13334" max="13334" width="8" customWidth="1"/>
    <col min="13335" max="13335" width="11.85546875" bestFit="1" customWidth="1"/>
    <col min="13336" max="13336" width="8" bestFit="1" customWidth="1"/>
    <col min="13337" max="13337" width="8" customWidth="1"/>
    <col min="13338" max="13338" width="13.42578125" bestFit="1" customWidth="1"/>
    <col min="13339" max="13339" width="9.85546875" customWidth="1"/>
    <col min="13340" max="13340" width="13.42578125" customWidth="1"/>
    <col min="13341" max="13341" width="8" customWidth="1"/>
    <col min="13342" max="13342" width="11.85546875" bestFit="1" customWidth="1"/>
    <col min="13569" max="13569" width="10.140625" customWidth="1"/>
    <col min="13570" max="13570" width="16.140625" bestFit="1" customWidth="1"/>
    <col min="13571" max="13571" width="15" bestFit="1" customWidth="1"/>
    <col min="13572" max="13572" width="18.42578125" bestFit="1" customWidth="1"/>
    <col min="13573" max="13573" width="11.85546875" bestFit="1" customWidth="1"/>
    <col min="13574" max="13574" width="16.85546875" bestFit="1" customWidth="1"/>
    <col min="13575" max="13575" width="13.42578125" bestFit="1" customWidth="1"/>
    <col min="13576" max="13576" width="11.85546875" bestFit="1" customWidth="1"/>
    <col min="13577" max="13577" width="8" bestFit="1" customWidth="1"/>
    <col min="13578" max="13578" width="13.42578125" bestFit="1" customWidth="1"/>
    <col min="13579" max="13581" width="13.42578125" customWidth="1"/>
    <col min="13582" max="13582" width="11.85546875" bestFit="1" customWidth="1"/>
    <col min="13583" max="13583" width="8" bestFit="1" customWidth="1"/>
    <col min="13584" max="13584" width="13.42578125" bestFit="1" customWidth="1"/>
    <col min="13585" max="13585" width="13.42578125" customWidth="1"/>
    <col min="13586" max="13586" width="10" customWidth="1"/>
    <col min="13587" max="13587" width="13.42578125" customWidth="1"/>
    <col min="13588" max="13588" width="9.85546875" customWidth="1"/>
    <col min="13589" max="13589" width="13.42578125" customWidth="1"/>
    <col min="13590" max="13590" width="8" customWidth="1"/>
    <col min="13591" max="13591" width="11.85546875" bestFit="1" customWidth="1"/>
    <col min="13592" max="13592" width="8" bestFit="1" customWidth="1"/>
    <col min="13593" max="13593" width="8" customWidth="1"/>
    <col min="13594" max="13594" width="13.42578125" bestFit="1" customWidth="1"/>
    <col min="13595" max="13595" width="9.85546875" customWidth="1"/>
    <col min="13596" max="13596" width="13.42578125" customWidth="1"/>
    <col min="13597" max="13597" width="8" customWidth="1"/>
    <col min="13598" max="13598" width="11.85546875" bestFit="1" customWidth="1"/>
    <col min="13825" max="13825" width="10.140625" customWidth="1"/>
    <col min="13826" max="13826" width="16.140625" bestFit="1" customWidth="1"/>
    <col min="13827" max="13827" width="15" bestFit="1" customWidth="1"/>
    <col min="13828" max="13828" width="18.42578125" bestFit="1" customWidth="1"/>
    <col min="13829" max="13829" width="11.85546875" bestFit="1" customWidth="1"/>
    <col min="13830" max="13830" width="16.85546875" bestFit="1" customWidth="1"/>
    <col min="13831" max="13831" width="13.42578125" bestFit="1" customWidth="1"/>
    <col min="13832" max="13832" width="11.85546875" bestFit="1" customWidth="1"/>
    <col min="13833" max="13833" width="8" bestFit="1" customWidth="1"/>
    <col min="13834" max="13834" width="13.42578125" bestFit="1" customWidth="1"/>
    <col min="13835" max="13837" width="13.42578125" customWidth="1"/>
    <col min="13838" max="13838" width="11.85546875" bestFit="1" customWidth="1"/>
    <col min="13839" max="13839" width="8" bestFit="1" customWidth="1"/>
    <col min="13840" max="13840" width="13.42578125" bestFit="1" customWidth="1"/>
    <col min="13841" max="13841" width="13.42578125" customWidth="1"/>
    <col min="13842" max="13842" width="10" customWidth="1"/>
    <col min="13843" max="13843" width="13.42578125" customWidth="1"/>
    <col min="13844" max="13844" width="9.85546875" customWidth="1"/>
    <col min="13845" max="13845" width="13.42578125" customWidth="1"/>
    <col min="13846" max="13846" width="8" customWidth="1"/>
    <col min="13847" max="13847" width="11.85546875" bestFit="1" customWidth="1"/>
    <col min="13848" max="13848" width="8" bestFit="1" customWidth="1"/>
    <col min="13849" max="13849" width="8" customWidth="1"/>
    <col min="13850" max="13850" width="13.42578125" bestFit="1" customWidth="1"/>
    <col min="13851" max="13851" width="9.85546875" customWidth="1"/>
    <col min="13852" max="13852" width="13.42578125" customWidth="1"/>
    <col min="13853" max="13853" width="8" customWidth="1"/>
    <col min="13854" max="13854" width="11.85546875" bestFit="1" customWidth="1"/>
    <col min="14081" max="14081" width="10.140625" customWidth="1"/>
    <col min="14082" max="14082" width="16.140625" bestFit="1" customWidth="1"/>
    <col min="14083" max="14083" width="15" bestFit="1" customWidth="1"/>
    <col min="14084" max="14084" width="18.42578125" bestFit="1" customWidth="1"/>
    <col min="14085" max="14085" width="11.85546875" bestFit="1" customWidth="1"/>
    <col min="14086" max="14086" width="16.85546875" bestFit="1" customWidth="1"/>
    <col min="14087" max="14087" width="13.42578125" bestFit="1" customWidth="1"/>
    <col min="14088" max="14088" width="11.85546875" bestFit="1" customWidth="1"/>
    <col min="14089" max="14089" width="8" bestFit="1" customWidth="1"/>
    <col min="14090" max="14090" width="13.42578125" bestFit="1" customWidth="1"/>
    <col min="14091" max="14093" width="13.42578125" customWidth="1"/>
    <col min="14094" max="14094" width="11.85546875" bestFit="1" customWidth="1"/>
    <col min="14095" max="14095" width="8" bestFit="1" customWidth="1"/>
    <col min="14096" max="14096" width="13.42578125" bestFit="1" customWidth="1"/>
    <col min="14097" max="14097" width="13.42578125" customWidth="1"/>
    <col min="14098" max="14098" width="10" customWidth="1"/>
    <col min="14099" max="14099" width="13.42578125" customWidth="1"/>
    <col min="14100" max="14100" width="9.85546875" customWidth="1"/>
    <col min="14101" max="14101" width="13.42578125" customWidth="1"/>
    <col min="14102" max="14102" width="8" customWidth="1"/>
    <col min="14103" max="14103" width="11.85546875" bestFit="1" customWidth="1"/>
    <col min="14104" max="14104" width="8" bestFit="1" customWidth="1"/>
    <col min="14105" max="14105" width="8" customWidth="1"/>
    <col min="14106" max="14106" width="13.42578125" bestFit="1" customWidth="1"/>
    <col min="14107" max="14107" width="9.85546875" customWidth="1"/>
    <col min="14108" max="14108" width="13.42578125" customWidth="1"/>
    <col min="14109" max="14109" width="8" customWidth="1"/>
    <col min="14110" max="14110" width="11.85546875" bestFit="1" customWidth="1"/>
    <col min="14337" max="14337" width="10.140625" customWidth="1"/>
    <col min="14338" max="14338" width="16.140625" bestFit="1" customWidth="1"/>
    <col min="14339" max="14339" width="15" bestFit="1" customWidth="1"/>
    <col min="14340" max="14340" width="18.42578125" bestFit="1" customWidth="1"/>
    <col min="14341" max="14341" width="11.85546875" bestFit="1" customWidth="1"/>
    <col min="14342" max="14342" width="16.85546875" bestFit="1" customWidth="1"/>
    <col min="14343" max="14343" width="13.42578125" bestFit="1" customWidth="1"/>
    <col min="14344" max="14344" width="11.85546875" bestFit="1" customWidth="1"/>
    <col min="14345" max="14345" width="8" bestFit="1" customWidth="1"/>
    <col min="14346" max="14346" width="13.42578125" bestFit="1" customWidth="1"/>
    <col min="14347" max="14349" width="13.42578125" customWidth="1"/>
    <col min="14350" max="14350" width="11.85546875" bestFit="1" customWidth="1"/>
    <col min="14351" max="14351" width="8" bestFit="1" customWidth="1"/>
    <col min="14352" max="14352" width="13.42578125" bestFit="1" customWidth="1"/>
    <col min="14353" max="14353" width="13.42578125" customWidth="1"/>
    <col min="14354" max="14354" width="10" customWidth="1"/>
    <col min="14355" max="14355" width="13.42578125" customWidth="1"/>
    <col min="14356" max="14356" width="9.85546875" customWidth="1"/>
    <col min="14357" max="14357" width="13.42578125" customWidth="1"/>
    <col min="14358" max="14358" width="8" customWidth="1"/>
    <col min="14359" max="14359" width="11.85546875" bestFit="1" customWidth="1"/>
    <col min="14360" max="14360" width="8" bestFit="1" customWidth="1"/>
    <col min="14361" max="14361" width="8" customWidth="1"/>
    <col min="14362" max="14362" width="13.42578125" bestFit="1" customWidth="1"/>
    <col min="14363" max="14363" width="9.85546875" customWidth="1"/>
    <col min="14364" max="14364" width="13.42578125" customWidth="1"/>
    <col min="14365" max="14365" width="8" customWidth="1"/>
    <col min="14366" max="14366" width="11.85546875" bestFit="1" customWidth="1"/>
    <col min="14593" max="14593" width="10.140625" customWidth="1"/>
    <col min="14594" max="14594" width="16.140625" bestFit="1" customWidth="1"/>
    <col min="14595" max="14595" width="15" bestFit="1" customWidth="1"/>
    <col min="14596" max="14596" width="18.42578125" bestFit="1" customWidth="1"/>
    <col min="14597" max="14597" width="11.85546875" bestFit="1" customWidth="1"/>
    <col min="14598" max="14598" width="16.85546875" bestFit="1" customWidth="1"/>
    <col min="14599" max="14599" width="13.42578125" bestFit="1" customWidth="1"/>
    <col min="14600" max="14600" width="11.85546875" bestFit="1" customWidth="1"/>
    <col min="14601" max="14601" width="8" bestFit="1" customWidth="1"/>
    <col min="14602" max="14602" width="13.42578125" bestFit="1" customWidth="1"/>
    <col min="14603" max="14605" width="13.42578125" customWidth="1"/>
    <col min="14606" max="14606" width="11.85546875" bestFit="1" customWidth="1"/>
    <col min="14607" max="14607" width="8" bestFit="1" customWidth="1"/>
    <col min="14608" max="14608" width="13.42578125" bestFit="1" customWidth="1"/>
    <col min="14609" max="14609" width="13.42578125" customWidth="1"/>
    <col min="14610" max="14610" width="10" customWidth="1"/>
    <col min="14611" max="14611" width="13.42578125" customWidth="1"/>
    <col min="14612" max="14612" width="9.85546875" customWidth="1"/>
    <col min="14613" max="14613" width="13.42578125" customWidth="1"/>
    <col min="14614" max="14614" width="8" customWidth="1"/>
    <col min="14615" max="14615" width="11.85546875" bestFit="1" customWidth="1"/>
    <col min="14616" max="14616" width="8" bestFit="1" customWidth="1"/>
    <col min="14617" max="14617" width="8" customWidth="1"/>
    <col min="14618" max="14618" width="13.42578125" bestFit="1" customWidth="1"/>
    <col min="14619" max="14619" width="9.85546875" customWidth="1"/>
    <col min="14620" max="14620" width="13.42578125" customWidth="1"/>
    <col min="14621" max="14621" width="8" customWidth="1"/>
    <col min="14622" max="14622" width="11.85546875" bestFit="1" customWidth="1"/>
    <col min="14849" max="14849" width="10.140625" customWidth="1"/>
    <col min="14850" max="14850" width="16.140625" bestFit="1" customWidth="1"/>
    <col min="14851" max="14851" width="15" bestFit="1" customWidth="1"/>
    <col min="14852" max="14852" width="18.42578125" bestFit="1" customWidth="1"/>
    <col min="14853" max="14853" width="11.85546875" bestFit="1" customWidth="1"/>
    <col min="14854" max="14854" width="16.85546875" bestFit="1" customWidth="1"/>
    <col min="14855" max="14855" width="13.42578125" bestFit="1" customWidth="1"/>
    <col min="14856" max="14856" width="11.85546875" bestFit="1" customWidth="1"/>
    <col min="14857" max="14857" width="8" bestFit="1" customWidth="1"/>
    <col min="14858" max="14858" width="13.42578125" bestFit="1" customWidth="1"/>
    <col min="14859" max="14861" width="13.42578125" customWidth="1"/>
    <col min="14862" max="14862" width="11.85546875" bestFit="1" customWidth="1"/>
    <col min="14863" max="14863" width="8" bestFit="1" customWidth="1"/>
    <col min="14864" max="14864" width="13.42578125" bestFit="1" customWidth="1"/>
    <col min="14865" max="14865" width="13.42578125" customWidth="1"/>
    <col min="14866" max="14866" width="10" customWidth="1"/>
    <col min="14867" max="14867" width="13.42578125" customWidth="1"/>
    <col min="14868" max="14868" width="9.85546875" customWidth="1"/>
    <col min="14869" max="14869" width="13.42578125" customWidth="1"/>
    <col min="14870" max="14870" width="8" customWidth="1"/>
    <col min="14871" max="14871" width="11.85546875" bestFit="1" customWidth="1"/>
    <col min="14872" max="14872" width="8" bestFit="1" customWidth="1"/>
    <col min="14873" max="14873" width="8" customWidth="1"/>
    <col min="14874" max="14874" width="13.42578125" bestFit="1" customWidth="1"/>
    <col min="14875" max="14875" width="9.85546875" customWidth="1"/>
    <col min="14876" max="14876" width="13.42578125" customWidth="1"/>
    <col min="14877" max="14877" width="8" customWidth="1"/>
    <col min="14878" max="14878" width="11.85546875" bestFit="1" customWidth="1"/>
    <col min="15105" max="15105" width="10.140625" customWidth="1"/>
    <col min="15106" max="15106" width="16.140625" bestFit="1" customWidth="1"/>
    <col min="15107" max="15107" width="15" bestFit="1" customWidth="1"/>
    <col min="15108" max="15108" width="18.42578125" bestFit="1" customWidth="1"/>
    <col min="15109" max="15109" width="11.85546875" bestFit="1" customWidth="1"/>
    <col min="15110" max="15110" width="16.85546875" bestFit="1" customWidth="1"/>
    <col min="15111" max="15111" width="13.42578125" bestFit="1" customWidth="1"/>
    <col min="15112" max="15112" width="11.85546875" bestFit="1" customWidth="1"/>
    <col min="15113" max="15113" width="8" bestFit="1" customWidth="1"/>
    <col min="15114" max="15114" width="13.42578125" bestFit="1" customWidth="1"/>
    <col min="15115" max="15117" width="13.42578125" customWidth="1"/>
    <col min="15118" max="15118" width="11.85546875" bestFit="1" customWidth="1"/>
    <col min="15119" max="15119" width="8" bestFit="1" customWidth="1"/>
    <col min="15120" max="15120" width="13.42578125" bestFit="1" customWidth="1"/>
    <col min="15121" max="15121" width="13.42578125" customWidth="1"/>
    <col min="15122" max="15122" width="10" customWidth="1"/>
    <col min="15123" max="15123" width="13.42578125" customWidth="1"/>
    <col min="15124" max="15124" width="9.85546875" customWidth="1"/>
    <col min="15125" max="15125" width="13.42578125" customWidth="1"/>
    <col min="15126" max="15126" width="8" customWidth="1"/>
    <col min="15127" max="15127" width="11.85546875" bestFit="1" customWidth="1"/>
    <col min="15128" max="15128" width="8" bestFit="1" customWidth="1"/>
    <col min="15129" max="15129" width="8" customWidth="1"/>
    <col min="15130" max="15130" width="13.42578125" bestFit="1" customWidth="1"/>
    <col min="15131" max="15131" width="9.85546875" customWidth="1"/>
    <col min="15132" max="15132" width="13.42578125" customWidth="1"/>
    <col min="15133" max="15133" width="8" customWidth="1"/>
    <col min="15134" max="15134" width="11.85546875" bestFit="1" customWidth="1"/>
    <col min="15361" max="15361" width="10.140625" customWidth="1"/>
    <col min="15362" max="15362" width="16.140625" bestFit="1" customWidth="1"/>
    <col min="15363" max="15363" width="15" bestFit="1" customWidth="1"/>
    <col min="15364" max="15364" width="18.42578125" bestFit="1" customWidth="1"/>
    <col min="15365" max="15365" width="11.85546875" bestFit="1" customWidth="1"/>
    <col min="15366" max="15366" width="16.85546875" bestFit="1" customWidth="1"/>
    <col min="15367" max="15367" width="13.42578125" bestFit="1" customWidth="1"/>
    <col min="15368" max="15368" width="11.85546875" bestFit="1" customWidth="1"/>
    <col min="15369" max="15369" width="8" bestFit="1" customWidth="1"/>
    <col min="15370" max="15370" width="13.42578125" bestFit="1" customWidth="1"/>
    <col min="15371" max="15373" width="13.42578125" customWidth="1"/>
    <col min="15374" max="15374" width="11.85546875" bestFit="1" customWidth="1"/>
    <col min="15375" max="15375" width="8" bestFit="1" customWidth="1"/>
    <col min="15376" max="15376" width="13.42578125" bestFit="1" customWidth="1"/>
    <col min="15377" max="15377" width="13.42578125" customWidth="1"/>
    <col min="15378" max="15378" width="10" customWidth="1"/>
    <col min="15379" max="15379" width="13.42578125" customWidth="1"/>
    <col min="15380" max="15380" width="9.85546875" customWidth="1"/>
    <col min="15381" max="15381" width="13.42578125" customWidth="1"/>
    <col min="15382" max="15382" width="8" customWidth="1"/>
    <col min="15383" max="15383" width="11.85546875" bestFit="1" customWidth="1"/>
    <col min="15384" max="15384" width="8" bestFit="1" customWidth="1"/>
    <col min="15385" max="15385" width="8" customWidth="1"/>
    <col min="15386" max="15386" width="13.42578125" bestFit="1" customWidth="1"/>
    <col min="15387" max="15387" width="9.85546875" customWidth="1"/>
    <col min="15388" max="15388" width="13.42578125" customWidth="1"/>
    <col min="15389" max="15389" width="8" customWidth="1"/>
    <col min="15390" max="15390" width="11.85546875" bestFit="1" customWidth="1"/>
    <col min="15617" max="15617" width="10.140625" customWidth="1"/>
    <col min="15618" max="15618" width="16.140625" bestFit="1" customWidth="1"/>
    <col min="15619" max="15619" width="15" bestFit="1" customWidth="1"/>
    <col min="15620" max="15620" width="18.42578125" bestFit="1" customWidth="1"/>
    <col min="15621" max="15621" width="11.85546875" bestFit="1" customWidth="1"/>
    <col min="15622" max="15622" width="16.85546875" bestFit="1" customWidth="1"/>
    <col min="15623" max="15623" width="13.42578125" bestFit="1" customWidth="1"/>
    <col min="15624" max="15624" width="11.85546875" bestFit="1" customWidth="1"/>
    <col min="15625" max="15625" width="8" bestFit="1" customWidth="1"/>
    <col min="15626" max="15626" width="13.42578125" bestFit="1" customWidth="1"/>
    <col min="15627" max="15629" width="13.42578125" customWidth="1"/>
    <col min="15630" max="15630" width="11.85546875" bestFit="1" customWidth="1"/>
    <col min="15631" max="15631" width="8" bestFit="1" customWidth="1"/>
    <col min="15632" max="15632" width="13.42578125" bestFit="1" customWidth="1"/>
    <col min="15633" max="15633" width="13.42578125" customWidth="1"/>
    <col min="15634" max="15634" width="10" customWidth="1"/>
    <col min="15635" max="15635" width="13.42578125" customWidth="1"/>
    <col min="15636" max="15636" width="9.85546875" customWidth="1"/>
    <col min="15637" max="15637" width="13.42578125" customWidth="1"/>
    <col min="15638" max="15638" width="8" customWidth="1"/>
    <col min="15639" max="15639" width="11.85546875" bestFit="1" customWidth="1"/>
    <col min="15640" max="15640" width="8" bestFit="1" customWidth="1"/>
    <col min="15641" max="15641" width="8" customWidth="1"/>
    <col min="15642" max="15642" width="13.42578125" bestFit="1" customWidth="1"/>
    <col min="15643" max="15643" width="9.85546875" customWidth="1"/>
    <col min="15644" max="15644" width="13.42578125" customWidth="1"/>
    <col min="15645" max="15645" width="8" customWidth="1"/>
    <col min="15646" max="15646" width="11.85546875" bestFit="1" customWidth="1"/>
    <col min="15873" max="15873" width="10.140625" customWidth="1"/>
    <col min="15874" max="15874" width="16.140625" bestFit="1" customWidth="1"/>
    <col min="15875" max="15875" width="15" bestFit="1" customWidth="1"/>
    <col min="15876" max="15876" width="18.42578125" bestFit="1" customWidth="1"/>
    <col min="15877" max="15877" width="11.85546875" bestFit="1" customWidth="1"/>
    <col min="15878" max="15878" width="16.85546875" bestFit="1" customWidth="1"/>
    <col min="15879" max="15879" width="13.42578125" bestFit="1" customWidth="1"/>
    <col min="15880" max="15880" width="11.85546875" bestFit="1" customWidth="1"/>
    <col min="15881" max="15881" width="8" bestFit="1" customWidth="1"/>
    <col min="15882" max="15882" width="13.42578125" bestFit="1" customWidth="1"/>
    <col min="15883" max="15885" width="13.42578125" customWidth="1"/>
    <col min="15886" max="15886" width="11.85546875" bestFit="1" customWidth="1"/>
    <col min="15887" max="15887" width="8" bestFit="1" customWidth="1"/>
    <col min="15888" max="15888" width="13.42578125" bestFit="1" customWidth="1"/>
    <col min="15889" max="15889" width="13.42578125" customWidth="1"/>
    <col min="15890" max="15890" width="10" customWidth="1"/>
    <col min="15891" max="15891" width="13.42578125" customWidth="1"/>
    <col min="15892" max="15892" width="9.85546875" customWidth="1"/>
    <col min="15893" max="15893" width="13.42578125" customWidth="1"/>
    <col min="15894" max="15894" width="8" customWidth="1"/>
    <col min="15895" max="15895" width="11.85546875" bestFit="1" customWidth="1"/>
    <col min="15896" max="15896" width="8" bestFit="1" customWidth="1"/>
    <col min="15897" max="15897" width="8" customWidth="1"/>
    <col min="15898" max="15898" width="13.42578125" bestFit="1" customWidth="1"/>
    <col min="15899" max="15899" width="9.85546875" customWidth="1"/>
    <col min="15900" max="15900" width="13.42578125" customWidth="1"/>
    <col min="15901" max="15901" width="8" customWidth="1"/>
    <col min="15902" max="15902" width="11.85546875" bestFit="1" customWidth="1"/>
    <col min="16129" max="16129" width="10.140625" customWidth="1"/>
    <col min="16130" max="16130" width="16.140625" bestFit="1" customWidth="1"/>
    <col min="16131" max="16131" width="15" bestFit="1" customWidth="1"/>
    <col min="16132" max="16132" width="18.42578125" bestFit="1" customWidth="1"/>
    <col min="16133" max="16133" width="11.85546875" bestFit="1" customWidth="1"/>
    <col min="16134" max="16134" width="16.85546875" bestFit="1" customWidth="1"/>
    <col min="16135" max="16135" width="13.42578125" bestFit="1" customWidth="1"/>
    <col min="16136" max="16136" width="11.85546875" bestFit="1" customWidth="1"/>
    <col min="16137" max="16137" width="8" bestFit="1" customWidth="1"/>
    <col min="16138" max="16138" width="13.42578125" bestFit="1" customWidth="1"/>
    <col min="16139" max="16141" width="13.42578125" customWidth="1"/>
    <col min="16142" max="16142" width="11.85546875" bestFit="1" customWidth="1"/>
    <col min="16143" max="16143" width="8" bestFit="1" customWidth="1"/>
    <col min="16144" max="16144" width="13.42578125" bestFit="1" customWidth="1"/>
    <col min="16145" max="16145" width="13.42578125" customWidth="1"/>
    <col min="16146" max="16146" width="10" customWidth="1"/>
    <col min="16147" max="16147" width="13.42578125" customWidth="1"/>
    <col min="16148" max="16148" width="9.85546875" customWidth="1"/>
    <col min="16149" max="16149" width="13.42578125" customWidth="1"/>
    <col min="16150" max="16150" width="8" customWidth="1"/>
    <col min="16151" max="16151" width="11.85546875" bestFit="1" customWidth="1"/>
    <col min="16152" max="16152" width="8" bestFit="1" customWidth="1"/>
    <col min="16153" max="16153" width="8" customWidth="1"/>
    <col min="16154" max="16154" width="13.42578125" bestFit="1" customWidth="1"/>
    <col min="16155" max="16155" width="9.85546875" customWidth="1"/>
    <col min="16156" max="16156" width="13.42578125" customWidth="1"/>
    <col min="16157" max="16157" width="8" customWidth="1"/>
    <col min="16158" max="16158" width="11.85546875" bestFit="1" customWidth="1"/>
  </cols>
  <sheetData>
    <row r="1" spans="1:15" ht="15">
      <c r="A1" s="105" t="s">
        <v>102</v>
      </c>
      <c r="B1" s="105"/>
      <c r="C1" s="105"/>
      <c r="D1" s="105" t="s">
        <v>101</v>
      </c>
      <c r="J1" s="106">
        <f>A4</f>
        <v>31776</v>
      </c>
    </row>
    <row r="2" spans="1:15">
      <c r="A2" s="102"/>
      <c r="B2" s="102" t="s">
        <v>96</v>
      </c>
      <c r="C2" s="102" t="s">
        <v>96</v>
      </c>
      <c r="D2" s="102" t="s">
        <v>96</v>
      </c>
      <c r="E2" s="102" t="s">
        <v>96</v>
      </c>
      <c r="F2" s="102" t="s">
        <v>96</v>
      </c>
      <c r="G2" s="102" t="s">
        <v>96</v>
      </c>
      <c r="H2" s="102" t="s">
        <v>96</v>
      </c>
      <c r="J2" s="100">
        <f>A278</f>
        <v>40116</v>
      </c>
      <c r="K2" t="str">
        <f>_xll.Thomson.Reuters.AFOSpreadsheetFormulas.DSGRID("U:GE","P;NOSH;MV;RZ","1990-12-31","TIME","M","RowHeader=true;ColHeader=true;DispSeriesDescription=false;YearlyTSFormat=false;QuarterlyTSFormat=false","")</f>
        <v>Name</v>
      </c>
      <c r="L2" t="s">
        <v>104</v>
      </c>
      <c r="M2" t="s">
        <v>105</v>
      </c>
      <c r="N2" t="s">
        <v>106</v>
      </c>
      <c r="O2" t="s">
        <v>107</v>
      </c>
    </row>
    <row r="3" spans="1:15">
      <c r="A3" s="102"/>
      <c r="B3" s="102" t="s">
        <v>103</v>
      </c>
      <c r="C3" s="104" t="s">
        <v>74</v>
      </c>
      <c r="D3" s="102" t="s">
        <v>14</v>
      </c>
      <c r="E3" s="104" t="s">
        <v>100</v>
      </c>
      <c r="F3" s="104" t="s">
        <v>99</v>
      </c>
      <c r="G3" s="103" t="s">
        <v>98</v>
      </c>
      <c r="H3" s="102" t="s">
        <v>97</v>
      </c>
      <c r="J3" s="79">
        <v>40179</v>
      </c>
      <c r="K3" s="117">
        <v>31776</v>
      </c>
      <c r="L3">
        <v>4.5955000000000004</v>
      </c>
      <c r="M3">
        <v>877471</v>
      </c>
      <c r="N3">
        <v>50344.88</v>
      </c>
      <c r="O3">
        <v>620.16999999999996</v>
      </c>
    </row>
    <row r="4" spans="1:15">
      <c r="A4" s="101">
        <v>31776</v>
      </c>
      <c r="B4" s="113">
        <f>L3</f>
        <v>4.5955000000000004</v>
      </c>
      <c r="C4" s="113">
        <f>M3/1000</f>
        <v>877.471</v>
      </c>
      <c r="D4" s="74">
        <f>N3/1000</f>
        <v>50.344879999999996</v>
      </c>
      <c r="E4" s="74">
        <f>B4</f>
        <v>4.5955000000000004</v>
      </c>
      <c r="F4" s="74"/>
      <c r="G4" s="74"/>
      <c r="H4" s="114">
        <f>O3</f>
        <v>620.16999999999996</v>
      </c>
      <c r="K4" s="117">
        <v>31807</v>
      </c>
      <c r="L4">
        <v>5.1261999999999999</v>
      </c>
      <c r="M4">
        <v>877471</v>
      </c>
      <c r="N4">
        <v>56158.13</v>
      </c>
      <c r="O4">
        <v>691.78</v>
      </c>
    </row>
    <row r="5" spans="1:15">
      <c r="A5" s="101">
        <v>31807</v>
      </c>
      <c r="B5" s="113">
        <f t="shared" ref="B5:B68" si="0">L4</f>
        <v>5.1261999999999999</v>
      </c>
      <c r="C5" s="113">
        <f t="shared" ref="C5:C68" si="1">M4/1000</f>
        <v>877.471</v>
      </c>
      <c r="D5" s="74">
        <f t="shared" ref="D5:D68" si="2">N4/1000</f>
        <v>56.15813</v>
      </c>
      <c r="E5" s="74">
        <f>H5/H4*E4</f>
        <v>5.1261347533740755</v>
      </c>
      <c r="F5" s="113">
        <f t="shared" ref="F5:F68" si="3">-(C5-C4)*(B4+B5)/2</f>
        <v>0</v>
      </c>
      <c r="G5" s="115">
        <f t="shared" ref="G5:G68" si="4">-((D5-D4)-D4*(B5/B4-1))</f>
        <v>7.0448068762463123E-4</v>
      </c>
      <c r="H5" s="114">
        <f t="shared" ref="H5:H68" si="5">O4</f>
        <v>691.78</v>
      </c>
      <c r="K5" s="117">
        <v>31835</v>
      </c>
      <c r="L5">
        <v>5.4465000000000003</v>
      </c>
      <c r="M5">
        <v>877471</v>
      </c>
      <c r="N5">
        <v>59667.99</v>
      </c>
      <c r="O5">
        <v>740.53</v>
      </c>
    </row>
    <row r="6" spans="1:15">
      <c r="A6" s="101">
        <v>31835</v>
      </c>
      <c r="B6" s="113">
        <f t="shared" si="0"/>
        <v>5.4465000000000003</v>
      </c>
      <c r="C6" s="113">
        <f t="shared" si="1"/>
        <v>877.471</v>
      </c>
      <c r="D6" s="74">
        <f t="shared" si="2"/>
        <v>59.667989999999996</v>
      </c>
      <c r="E6" s="74">
        <f t="shared" ref="E6:E68" si="6">H6/H5*E5</f>
        <v>5.4873754212554626</v>
      </c>
      <c r="F6" s="113">
        <f t="shared" si="3"/>
        <v>0</v>
      </c>
      <c r="G6" s="115">
        <f t="shared" si="4"/>
        <v>-9.3544789511268434E-4</v>
      </c>
      <c r="H6" s="114">
        <f t="shared" si="5"/>
        <v>740.53</v>
      </c>
      <c r="K6" s="117">
        <v>31864</v>
      </c>
      <c r="L6">
        <v>5.5766999999999998</v>
      </c>
      <c r="M6">
        <v>877471</v>
      </c>
      <c r="N6">
        <v>61093.89</v>
      </c>
      <c r="O6">
        <v>758.23</v>
      </c>
    </row>
    <row r="7" spans="1:15">
      <c r="A7" s="101">
        <v>31864</v>
      </c>
      <c r="B7" s="113">
        <f t="shared" si="0"/>
        <v>5.5766999999999998</v>
      </c>
      <c r="C7" s="113">
        <f t="shared" si="1"/>
        <v>877.471</v>
      </c>
      <c r="D7" s="74">
        <f t="shared" si="2"/>
        <v>61.093890000000002</v>
      </c>
      <c r="E7" s="74">
        <f t="shared" si="6"/>
        <v>5.6185335714400901</v>
      </c>
      <c r="F7" s="113">
        <f t="shared" si="3"/>
        <v>0</v>
      </c>
      <c r="G7" s="115">
        <f t="shared" si="4"/>
        <v>4.7883007435345348E-4</v>
      </c>
      <c r="H7" s="114">
        <f t="shared" si="5"/>
        <v>758.23</v>
      </c>
      <c r="K7" s="117">
        <v>31896</v>
      </c>
      <c r="L7">
        <v>5.6668000000000003</v>
      </c>
      <c r="M7">
        <v>873120</v>
      </c>
      <c r="N7">
        <v>61773.21</v>
      </c>
      <c r="O7">
        <v>770.48</v>
      </c>
    </row>
    <row r="8" spans="1:15">
      <c r="A8" s="101">
        <v>31896</v>
      </c>
      <c r="B8" s="113">
        <f t="shared" si="0"/>
        <v>5.6668000000000003</v>
      </c>
      <c r="C8" s="113">
        <f t="shared" si="1"/>
        <v>873.12</v>
      </c>
      <c r="D8" s="74">
        <f t="shared" si="2"/>
        <v>61.773209999999999</v>
      </c>
      <c r="E8" s="74">
        <f t="shared" si="6"/>
        <v>5.709306867471823</v>
      </c>
      <c r="F8" s="113">
        <f t="shared" si="3"/>
        <v>24.460234249999996</v>
      </c>
      <c r="G8" s="115">
        <f t="shared" si="4"/>
        <v>0.3077439426542623</v>
      </c>
      <c r="H8" s="114">
        <f t="shared" si="5"/>
        <v>770.48</v>
      </c>
      <c r="K8" s="117">
        <v>31927</v>
      </c>
      <c r="L8">
        <v>6.1874000000000002</v>
      </c>
      <c r="M8">
        <v>870602</v>
      </c>
      <c r="N8">
        <v>67253.94</v>
      </c>
      <c r="O8">
        <v>846.82</v>
      </c>
    </row>
    <row r="9" spans="1:15">
      <c r="A9" s="101">
        <v>31927</v>
      </c>
      <c r="B9" s="113">
        <f t="shared" si="0"/>
        <v>6.1874000000000002</v>
      </c>
      <c r="C9" s="113">
        <f t="shared" si="1"/>
        <v>870.60199999999998</v>
      </c>
      <c r="D9" s="74">
        <f t="shared" si="2"/>
        <v>67.25394</v>
      </c>
      <c r="E9" s="74">
        <f t="shared" si="6"/>
        <v>6.2749912282116203</v>
      </c>
      <c r="F9" s="113">
        <f t="shared" si="3"/>
        <v>14.924437800000174</v>
      </c>
      <c r="G9" s="115">
        <f t="shared" si="4"/>
        <v>0.19427761029152002</v>
      </c>
      <c r="H9" s="114">
        <f t="shared" si="5"/>
        <v>846.82</v>
      </c>
      <c r="K9" s="117">
        <v>31955</v>
      </c>
      <c r="L9">
        <v>5.9271000000000003</v>
      </c>
      <c r="M9">
        <v>870602</v>
      </c>
      <c r="N9">
        <v>64424.51</v>
      </c>
      <c r="O9">
        <v>811.19</v>
      </c>
    </row>
    <row r="10" spans="1:15">
      <c r="A10" s="101">
        <v>31955</v>
      </c>
      <c r="B10" s="113">
        <f t="shared" si="0"/>
        <v>5.9271000000000003</v>
      </c>
      <c r="C10" s="113">
        <f t="shared" si="1"/>
        <v>870.60199999999998</v>
      </c>
      <c r="D10" s="74">
        <f t="shared" si="2"/>
        <v>64.424509999999998</v>
      </c>
      <c r="E10" s="74">
        <f t="shared" si="6"/>
        <v>6.0109706128964646</v>
      </c>
      <c r="F10" s="113">
        <f t="shared" si="3"/>
        <v>0</v>
      </c>
      <c r="G10" s="115">
        <f t="shared" si="4"/>
        <v>9.9330898283067626E-5</v>
      </c>
      <c r="H10" s="114">
        <f t="shared" si="5"/>
        <v>811.19</v>
      </c>
      <c r="K10" s="117">
        <v>31988</v>
      </c>
      <c r="L10">
        <v>5.867</v>
      </c>
      <c r="M10">
        <v>870602</v>
      </c>
      <c r="N10">
        <v>63771.56</v>
      </c>
      <c r="O10">
        <v>802.97</v>
      </c>
    </row>
    <row r="11" spans="1:15">
      <c r="A11" s="101">
        <v>31988</v>
      </c>
      <c r="B11" s="113">
        <f t="shared" si="0"/>
        <v>5.867</v>
      </c>
      <c r="C11" s="113">
        <f t="shared" si="1"/>
        <v>870.60199999999998</v>
      </c>
      <c r="D11" s="74">
        <f t="shared" si="2"/>
        <v>63.771560000000001</v>
      </c>
      <c r="E11" s="74">
        <f t="shared" si="6"/>
        <v>5.950059878742926</v>
      </c>
      <c r="F11" s="113">
        <f t="shared" si="3"/>
        <v>0</v>
      </c>
      <c r="G11" s="115">
        <f t="shared" si="4"/>
        <v>-3.0590103086314269E-4</v>
      </c>
      <c r="H11" s="114">
        <f t="shared" si="5"/>
        <v>802.97</v>
      </c>
      <c r="K11" s="117">
        <v>32018</v>
      </c>
      <c r="L11">
        <v>5.9972000000000003</v>
      </c>
      <c r="M11">
        <v>870221</v>
      </c>
      <c r="N11">
        <v>65157.77</v>
      </c>
      <c r="O11">
        <v>820.79</v>
      </c>
    </row>
    <row r="12" spans="1:15">
      <c r="A12" s="101">
        <v>32018</v>
      </c>
      <c r="B12" s="113">
        <f t="shared" si="0"/>
        <v>5.9972000000000003</v>
      </c>
      <c r="C12" s="113">
        <f t="shared" si="1"/>
        <v>870.221</v>
      </c>
      <c r="D12" s="74">
        <f t="shared" si="2"/>
        <v>65.157769999999999</v>
      </c>
      <c r="E12" s="74">
        <f t="shared" si="6"/>
        <v>6.0821072367254141</v>
      </c>
      <c r="F12" s="113">
        <f t="shared" si="3"/>
        <v>2.2601300999998326</v>
      </c>
      <c r="G12" s="115">
        <f t="shared" si="4"/>
        <v>2.9003416055914943E-2</v>
      </c>
      <c r="H12" s="114">
        <f t="shared" si="5"/>
        <v>820.79</v>
      </c>
      <c r="K12" s="117">
        <v>32049</v>
      </c>
      <c r="L12">
        <v>5.5567000000000002</v>
      </c>
      <c r="M12">
        <v>870221</v>
      </c>
      <c r="N12">
        <v>60371.55</v>
      </c>
      <c r="O12">
        <v>766.08</v>
      </c>
    </row>
    <row r="13" spans="1:15">
      <c r="A13" s="101">
        <v>32049</v>
      </c>
      <c r="B13" s="113">
        <f t="shared" si="0"/>
        <v>5.5567000000000002</v>
      </c>
      <c r="C13" s="113">
        <f t="shared" si="1"/>
        <v>870.221</v>
      </c>
      <c r="D13" s="74">
        <f t="shared" si="2"/>
        <v>60.371550000000006</v>
      </c>
      <c r="E13" s="74">
        <f t="shared" si="6"/>
        <v>5.676702581550221</v>
      </c>
      <c r="F13" s="113">
        <f t="shared" si="3"/>
        <v>0</v>
      </c>
      <c r="G13" s="115">
        <f t="shared" si="4"/>
        <v>3.20299306331151E-4</v>
      </c>
      <c r="H13" s="114">
        <f t="shared" si="5"/>
        <v>766.08</v>
      </c>
      <c r="K13" s="117">
        <v>32080</v>
      </c>
      <c r="L13">
        <v>5.5266000000000002</v>
      </c>
      <c r="M13">
        <v>870221</v>
      </c>
      <c r="N13">
        <v>60045.23</v>
      </c>
      <c r="O13">
        <v>761.93</v>
      </c>
    </row>
    <row r="14" spans="1:15">
      <c r="A14" s="101">
        <v>32080</v>
      </c>
      <c r="B14" s="113">
        <f t="shared" si="0"/>
        <v>5.5266000000000002</v>
      </c>
      <c r="C14" s="113">
        <f t="shared" si="1"/>
        <v>870.221</v>
      </c>
      <c r="D14" s="74">
        <f t="shared" si="2"/>
        <v>60.045230000000004</v>
      </c>
      <c r="E14" s="74">
        <f t="shared" si="6"/>
        <v>5.6459508118741635</v>
      </c>
      <c r="F14" s="113">
        <f t="shared" si="3"/>
        <v>0</v>
      </c>
      <c r="G14" s="115">
        <f t="shared" si="4"/>
        <v>-7.0569060773334469E-4</v>
      </c>
      <c r="H14" s="114">
        <f t="shared" si="5"/>
        <v>761.93</v>
      </c>
      <c r="K14" s="117">
        <v>32109</v>
      </c>
      <c r="L14">
        <v>5.1862000000000004</v>
      </c>
      <c r="M14">
        <v>866592</v>
      </c>
      <c r="N14">
        <v>56111.8</v>
      </c>
      <c r="O14">
        <v>715</v>
      </c>
    </row>
    <row r="15" spans="1:15">
      <c r="A15" s="101">
        <v>32109</v>
      </c>
      <c r="B15" s="113">
        <f t="shared" si="0"/>
        <v>5.1862000000000004</v>
      </c>
      <c r="C15" s="113">
        <f t="shared" si="1"/>
        <v>866.59199999999998</v>
      </c>
      <c r="D15" s="74">
        <f t="shared" si="2"/>
        <v>56.111800000000002</v>
      </c>
      <c r="E15" s="74">
        <f t="shared" si="6"/>
        <v>5.2981964622603481</v>
      </c>
      <c r="F15" s="113">
        <f t="shared" si="3"/>
        <v>19.438375600000104</v>
      </c>
      <c r="G15" s="115">
        <f t="shared" si="4"/>
        <v>0.23506277747620663</v>
      </c>
      <c r="H15" s="114">
        <f t="shared" si="5"/>
        <v>715</v>
      </c>
      <c r="K15" s="117">
        <v>32141</v>
      </c>
      <c r="L15">
        <v>6.1273999999999997</v>
      </c>
      <c r="M15">
        <v>866592</v>
      </c>
      <c r="N15">
        <v>66294.25</v>
      </c>
      <c r="O15">
        <v>851.94</v>
      </c>
    </row>
    <row r="16" spans="1:15">
      <c r="A16" s="101">
        <v>32141</v>
      </c>
      <c r="B16" s="113">
        <f t="shared" si="0"/>
        <v>6.1273999999999997</v>
      </c>
      <c r="C16" s="113">
        <f t="shared" si="1"/>
        <v>866.59199999999998</v>
      </c>
      <c r="D16" s="74">
        <f t="shared" si="2"/>
        <v>66.294250000000005</v>
      </c>
      <c r="E16" s="74">
        <f t="shared" si="6"/>
        <v>6.3129307609203931</v>
      </c>
      <c r="F16" s="113">
        <f t="shared" si="3"/>
        <v>0</v>
      </c>
      <c r="G16" s="115">
        <f t="shared" si="4"/>
        <v>8.1060699547919057E-4</v>
      </c>
      <c r="H16" s="114">
        <f t="shared" si="5"/>
        <v>851.94</v>
      </c>
      <c r="K16" s="117">
        <v>32172</v>
      </c>
      <c r="L16">
        <v>6.0271999999999997</v>
      </c>
      <c r="M16">
        <v>866592</v>
      </c>
      <c r="N16">
        <v>65211.02</v>
      </c>
      <c r="O16">
        <v>838.02</v>
      </c>
    </row>
    <row r="17" spans="1:15">
      <c r="A17" s="101">
        <v>32172</v>
      </c>
      <c r="B17" s="113">
        <f t="shared" si="0"/>
        <v>6.0271999999999997</v>
      </c>
      <c r="C17" s="113">
        <f t="shared" si="1"/>
        <v>866.59199999999998</v>
      </c>
      <c r="D17" s="74">
        <f t="shared" si="2"/>
        <v>65.211019999999991</v>
      </c>
      <c r="E17" s="74">
        <f t="shared" si="6"/>
        <v>6.2097826563684153</v>
      </c>
      <c r="F17" s="113">
        <f t="shared" si="3"/>
        <v>0</v>
      </c>
      <c r="G17" s="115">
        <f t="shared" si="4"/>
        <v>-8.6502399058474566E-4</v>
      </c>
      <c r="H17" s="114">
        <f t="shared" si="5"/>
        <v>838.02</v>
      </c>
      <c r="K17" s="117">
        <v>32200</v>
      </c>
      <c r="L17">
        <v>6.2976000000000001</v>
      </c>
      <c r="M17">
        <v>866592</v>
      </c>
      <c r="N17">
        <v>68135.75</v>
      </c>
      <c r="O17">
        <v>875.61</v>
      </c>
    </row>
    <row r="18" spans="1:15">
      <c r="A18" s="101">
        <v>32200</v>
      </c>
      <c r="B18" s="113">
        <f t="shared" si="0"/>
        <v>6.2976000000000001</v>
      </c>
      <c r="C18" s="113">
        <f t="shared" si="1"/>
        <v>866.59199999999998</v>
      </c>
      <c r="D18" s="74">
        <f t="shared" si="2"/>
        <v>68.135750000000002</v>
      </c>
      <c r="E18" s="74">
        <f t="shared" si="6"/>
        <v>6.488326999048649</v>
      </c>
      <c r="F18" s="113">
        <f t="shared" si="3"/>
        <v>0</v>
      </c>
      <c r="G18" s="115">
        <f t="shared" si="4"/>
        <v>8.5066896734087294E-4</v>
      </c>
      <c r="H18" s="114">
        <f t="shared" si="5"/>
        <v>875.61</v>
      </c>
      <c r="K18" s="117">
        <v>32232</v>
      </c>
      <c r="L18">
        <v>6.0673000000000004</v>
      </c>
      <c r="M18">
        <v>864122</v>
      </c>
      <c r="N18">
        <v>65457.23</v>
      </c>
      <c r="O18">
        <v>849.5</v>
      </c>
    </row>
    <row r="19" spans="1:15">
      <c r="A19" s="101">
        <v>32232</v>
      </c>
      <c r="B19" s="113">
        <f t="shared" si="0"/>
        <v>6.0673000000000004</v>
      </c>
      <c r="C19" s="113">
        <f t="shared" si="1"/>
        <v>864.12199999999996</v>
      </c>
      <c r="D19" s="74">
        <f t="shared" si="2"/>
        <v>65.45723000000001</v>
      </c>
      <c r="E19" s="74">
        <f t="shared" si="6"/>
        <v>6.2948502023638691</v>
      </c>
      <c r="F19" s="113">
        <f t="shared" si="3"/>
        <v>15.270651500000168</v>
      </c>
      <c r="G19" s="115">
        <f t="shared" si="4"/>
        <v>0.18683059054242479</v>
      </c>
      <c r="H19" s="114">
        <f t="shared" si="5"/>
        <v>849.5</v>
      </c>
      <c r="K19" s="117">
        <v>32262</v>
      </c>
      <c r="L19">
        <v>6.1374000000000004</v>
      </c>
      <c r="M19">
        <v>864122</v>
      </c>
      <c r="N19">
        <v>66213.31</v>
      </c>
      <c r="O19">
        <v>859.31</v>
      </c>
    </row>
    <row r="20" spans="1:15">
      <c r="A20" s="101">
        <v>32262</v>
      </c>
      <c r="B20" s="113">
        <f t="shared" si="0"/>
        <v>6.1374000000000004</v>
      </c>
      <c r="C20" s="113">
        <f t="shared" si="1"/>
        <v>864.12199999999996</v>
      </c>
      <c r="D20" s="74">
        <f t="shared" si="2"/>
        <v>66.213309999999993</v>
      </c>
      <c r="E20" s="74">
        <f t="shared" si="6"/>
        <v>6.367542939839077</v>
      </c>
      <c r="F20" s="113">
        <f t="shared" si="3"/>
        <v>0</v>
      </c>
      <c r="G20" s="115">
        <f t="shared" si="4"/>
        <v>1.9574423551482756E-4</v>
      </c>
      <c r="H20" s="114">
        <f t="shared" si="5"/>
        <v>859.31</v>
      </c>
      <c r="K20" s="117">
        <v>32291</v>
      </c>
      <c r="L20">
        <v>6.1173000000000002</v>
      </c>
      <c r="M20">
        <v>864122</v>
      </c>
      <c r="N20">
        <v>65997.25</v>
      </c>
      <c r="O20">
        <v>856.51</v>
      </c>
    </row>
    <row r="21" spans="1:15">
      <c r="A21" s="101">
        <v>32291</v>
      </c>
      <c r="B21" s="113">
        <f t="shared" si="0"/>
        <v>6.1173000000000002</v>
      </c>
      <c r="C21" s="113">
        <f t="shared" si="1"/>
        <v>864.12199999999996</v>
      </c>
      <c r="D21" s="74">
        <f t="shared" si="2"/>
        <v>65.997249999999994</v>
      </c>
      <c r="E21" s="74">
        <f t="shared" si="6"/>
        <v>6.3467947578889667</v>
      </c>
      <c r="F21" s="113">
        <f t="shared" si="3"/>
        <v>0</v>
      </c>
      <c r="G21" s="115">
        <f t="shared" si="4"/>
        <v>-7.887520774279011E-4</v>
      </c>
      <c r="H21" s="114">
        <f t="shared" si="5"/>
        <v>856.51</v>
      </c>
      <c r="K21" s="117">
        <v>32323</v>
      </c>
      <c r="L21">
        <v>6.2275</v>
      </c>
      <c r="M21">
        <v>858091</v>
      </c>
      <c r="N21">
        <v>66716.5</v>
      </c>
      <c r="O21">
        <v>878.28</v>
      </c>
    </row>
    <row r="22" spans="1:15">
      <c r="A22" s="101">
        <v>32323</v>
      </c>
      <c r="B22" s="113">
        <f t="shared" si="0"/>
        <v>6.2275</v>
      </c>
      <c r="C22" s="113">
        <f t="shared" si="1"/>
        <v>858.09100000000001</v>
      </c>
      <c r="D22" s="74">
        <f t="shared" si="2"/>
        <v>66.716499999999996</v>
      </c>
      <c r="E22" s="74">
        <f t="shared" si="6"/>
        <v>6.5081118725510754</v>
      </c>
      <c r="F22" s="113">
        <f t="shared" si="3"/>
        <v>37.225744399999684</v>
      </c>
      <c r="G22" s="115">
        <f t="shared" si="4"/>
        <v>0.46965637209226263</v>
      </c>
      <c r="H22" s="114">
        <f t="shared" si="5"/>
        <v>878.28</v>
      </c>
      <c r="K22" s="117">
        <v>32354</v>
      </c>
      <c r="L22">
        <v>6.1273999999999997</v>
      </c>
      <c r="M22">
        <v>858091</v>
      </c>
      <c r="N22">
        <v>65643.88</v>
      </c>
      <c r="O22">
        <v>864.16</v>
      </c>
    </row>
    <row r="23" spans="1:15">
      <c r="A23" s="101">
        <v>32354</v>
      </c>
      <c r="B23" s="113">
        <f t="shared" si="0"/>
        <v>6.1273999999999997</v>
      </c>
      <c r="C23" s="113">
        <f t="shared" si="1"/>
        <v>858.09100000000001</v>
      </c>
      <c r="D23" s="74">
        <f t="shared" si="2"/>
        <v>65.64388000000001</v>
      </c>
      <c r="E23" s="74">
        <f t="shared" si="6"/>
        <v>6.4034817550026615</v>
      </c>
      <c r="F23" s="113">
        <f t="shared" si="3"/>
        <v>0</v>
      </c>
      <c r="G23" s="115">
        <f t="shared" si="4"/>
        <v>2.2792452828679366E-4</v>
      </c>
      <c r="H23" s="114">
        <f t="shared" si="5"/>
        <v>864.16</v>
      </c>
      <c r="K23" s="117">
        <v>32385</v>
      </c>
      <c r="L23">
        <v>5.9271000000000003</v>
      </c>
      <c r="M23">
        <v>858091</v>
      </c>
      <c r="N23">
        <v>63498.69</v>
      </c>
      <c r="O23">
        <v>835.92</v>
      </c>
    </row>
    <row r="24" spans="1:15">
      <c r="A24" s="101">
        <v>32385</v>
      </c>
      <c r="B24" s="113">
        <f t="shared" si="0"/>
        <v>5.9271000000000003</v>
      </c>
      <c r="C24" s="113">
        <f t="shared" si="1"/>
        <v>858.09100000000001</v>
      </c>
      <c r="D24" s="74">
        <f t="shared" si="2"/>
        <v>63.498690000000003</v>
      </c>
      <c r="E24" s="74">
        <f t="shared" si="6"/>
        <v>6.1942215199058328</v>
      </c>
      <c r="F24" s="113">
        <f t="shared" si="3"/>
        <v>0</v>
      </c>
      <c r="G24" s="115">
        <f t="shared" si="4"/>
        <v>-6.5802102032552767E-4</v>
      </c>
      <c r="H24" s="114">
        <f t="shared" si="5"/>
        <v>835.92</v>
      </c>
      <c r="K24" s="117">
        <v>32415</v>
      </c>
      <c r="L24">
        <v>6.2675000000000001</v>
      </c>
      <c r="M24">
        <v>854309</v>
      </c>
      <c r="N24">
        <v>66849.63</v>
      </c>
      <c r="O24">
        <v>890.57</v>
      </c>
    </row>
    <row r="25" spans="1:15">
      <c r="A25" s="101">
        <v>32415</v>
      </c>
      <c r="B25" s="113">
        <f t="shared" si="0"/>
        <v>6.2675000000000001</v>
      </c>
      <c r="C25" s="113">
        <f t="shared" si="1"/>
        <v>854.30899999999997</v>
      </c>
      <c r="D25" s="74">
        <f t="shared" si="2"/>
        <v>66.849630000000005</v>
      </c>
      <c r="E25" s="74">
        <f t="shared" si="6"/>
        <v>6.599181571182096</v>
      </c>
      <c r="F25" s="113">
        <f t="shared" si="3"/>
        <v>23.059988600000242</v>
      </c>
      <c r="G25" s="115">
        <f t="shared" si="4"/>
        <v>0.29586097788124954</v>
      </c>
      <c r="H25" s="114">
        <f t="shared" si="5"/>
        <v>890.57</v>
      </c>
      <c r="K25" s="117">
        <v>32445</v>
      </c>
      <c r="L25">
        <v>6.1474000000000002</v>
      </c>
      <c r="M25">
        <v>854309</v>
      </c>
      <c r="N25">
        <v>65568.19</v>
      </c>
      <c r="O25">
        <v>873.5</v>
      </c>
    </row>
    <row r="26" spans="1:15">
      <c r="A26" s="101">
        <v>32445</v>
      </c>
      <c r="B26" s="113">
        <f t="shared" si="0"/>
        <v>6.1474000000000002</v>
      </c>
      <c r="C26" s="113">
        <f t="shared" si="1"/>
        <v>854.30899999999997</v>
      </c>
      <c r="D26" s="74">
        <f t="shared" si="2"/>
        <v>65.568190000000001</v>
      </c>
      <c r="E26" s="74">
        <f t="shared" si="6"/>
        <v>6.4726917619362441</v>
      </c>
      <c r="F26" s="113">
        <f t="shared" si="3"/>
        <v>0</v>
      </c>
      <c r="G26" s="115">
        <f t="shared" si="4"/>
        <v>4.4429788592470487E-4</v>
      </c>
      <c r="H26" s="114">
        <f t="shared" si="5"/>
        <v>873.5</v>
      </c>
      <c r="K26" s="117">
        <v>32476</v>
      </c>
      <c r="L26">
        <v>6.6680000000000001</v>
      </c>
      <c r="M26">
        <v>854309</v>
      </c>
      <c r="N26">
        <v>71121.13</v>
      </c>
      <c r="O26">
        <v>947.48</v>
      </c>
    </row>
    <row r="27" spans="1:15">
      <c r="A27" s="101">
        <v>32476</v>
      </c>
      <c r="B27" s="113">
        <f t="shared" si="0"/>
        <v>6.6680000000000001</v>
      </c>
      <c r="C27" s="113">
        <f t="shared" si="1"/>
        <v>854.30899999999997</v>
      </c>
      <c r="D27" s="74">
        <f t="shared" si="2"/>
        <v>71.121130000000008</v>
      </c>
      <c r="E27" s="74">
        <f t="shared" si="6"/>
        <v>7.020888369318091</v>
      </c>
      <c r="F27" s="113">
        <f t="shared" si="3"/>
        <v>0</v>
      </c>
      <c r="G27" s="115">
        <f t="shared" si="4"/>
        <v>-2.1857077789544377E-4</v>
      </c>
      <c r="H27" s="114">
        <f t="shared" si="5"/>
        <v>947.48</v>
      </c>
      <c r="K27" s="117">
        <v>32507</v>
      </c>
      <c r="L27">
        <v>6.8482000000000003</v>
      </c>
      <c r="M27">
        <v>854039</v>
      </c>
      <c r="N27">
        <v>73020.25</v>
      </c>
      <c r="O27">
        <v>980.55</v>
      </c>
    </row>
    <row r="28" spans="1:15">
      <c r="A28" s="101">
        <v>32507</v>
      </c>
      <c r="B28" s="113">
        <f t="shared" si="0"/>
        <v>6.8482000000000003</v>
      </c>
      <c r="C28" s="113">
        <f t="shared" si="1"/>
        <v>854.03899999999999</v>
      </c>
      <c r="D28" s="74">
        <f t="shared" si="2"/>
        <v>73.020250000000004</v>
      </c>
      <c r="E28" s="74">
        <f t="shared" si="6"/>
        <v>7.2659392182788585</v>
      </c>
      <c r="F28" s="113">
        <f t="shared" si="3"/>
        <v>1.8246869999998772</v>
      </c>
      <c r="G28" s="115">
        <f t="shared" si="4"/>
        <v>2.2899739952010334E-2</v>
      </c>
      <c r="H28" s="114">
        <f t="shared" si="5"/>
        <v>980.55</v>
      </c>
      <c r="K28" s="117">
        <v>32536</v>
      </c>
      <c r="L28">
        <v>6.8982999999999999</v>
      </c>
      <c r="M28">
        <v>854039</v>
      </c>
      <c r="N28">
        <v>73554.06</v>
      </c>
      <c r="O28">
        <v>987.72</v>
      </c>
    </row>
    <row r="29" spans="1:15">
      <c r="A29" s="101">
        <v>32536</v>
      </c>
      <c r="B29" s="113">
        <f t="shared" si="0"/>
        <v>6.8982999999999999</v>
      </c>
      <c r="C29" s="113">
        <f t="shared" si="1"/>
        <v>854.03899999999999</v>
      </c>
      <c r="D29" s="74">
        <f t="shared" si="2"/>
        <v>73.554059999999993</v>
      </c>
      <c r="E29" s="74">
        <f t="shared" si="6"/>
        <v>7.3190693842011063</v>
      </c>
      <c r="F29" s="113">
        <f t="shared" si="3"/>
        <v>0</v>
      </c>
      <c r="G29" s="115">
        <f t="shared" si="4"/>
        <v>3.908885546567431E-4</v>
      </c>
      <c r="H29" s="114">
        <f t="shared" si="5"/>
        <v>987.72</v>
      </c>
      <c r="K29" s="117">
        <v>32564</v>
      </c>
      <c r="L29">
        <v>6.7381000000000002</v>
      </c>
      <c r="M29">
        <v>854039</v>
      </c>
      <c r="N29">
        <v>71846</v>
      </c>
      <c r="O29">
        <v>964.78</v>
      </c>
    </row>
    <row r="30" spans="1:15">
      <c r="A30" s="101">
        <v>32564</v>
      </c>
      <c r="B30" s="113">
        <f t="shared" si="0"/>
        <v>6.7381000000000002</v>
      </c>
      <c r="C30" s="113">
        <f t="shared" si="1"/>
        <v>854.03899999999999</v>
      </c>
      <c r="D30" s="74">
        <f t="shared" si="2"/>
        <v>71.846000000000004</v>
      </c>
      <c r="E30" s="74">
        <f t="shared" si="6"/>
        <v>7.1490824935098445</v>
      </c>
      <c r="F30" s="113">
        <f t="shared" si="3"/>
        <v>0</v>
      </c>
      <c r="G30" s="115">
        <f t="shared" si="4"/>
        <v>-9.4242639497199576E-5</v>
      </c>
      <c r="H30" s="114">
        <f t="shared" si="5"/>
        <v>964.78</v>
      </c>
      <c r="K30" s="117">
        <v>32597</v>
      </c>
      <c r="L30">
        <v>7.1386000000000003</v>
      </c>
      <c r="M30">
        <v>854039</v>
      </c>
      <c r="N30">
        <v>76116.19</v>
      </c>
      <c r="O30">
        <v>1029.6500000000001</v>
      </c>
    </row>
    <row r="31" spans="1:15">
      <c r="A31" s="101">
        <v>32597</v>
      </c>
      <c r="B31" s="113">
        <f t="shared" si="0"/>
        <v>7.1386000000000003</v>
      </c>
      <c r="C31" s="113">
        <f t="shared" si="1"/>
        <v>854.03899999999999</v>
      </c>
      <c r="D31" s="74">
        <f t="shared" si="2"/>
        <v>76.116190000000003</v>
      </c>
      <c r="E31" s="74">
        <f t="shared" si="6"/>
        <v>7.6297734089040112</v>
      </c>
      <c r="F31" s="113">
        <f t="shared" si="3"/>
        <v>0</v>
      </c>
      <c r="G31" s="115">
        <f t="shared" si="4"/>
        <v>2.0120820409097462E-4</v>
      </c>
      <c r="H31" s="114">
        <f t="shared" si="5"/>
        <v>1029.6500000000001</v>
      </c>
      <c r="K31" s="117">
        <v>32627</v>
      </c>
      <c r="L31">
        <v>7.2587000000000002</v>
      </c>
      <c r="M31">
        <v>854039</v>
      </c>
      <c r="N31">
        <v>77397.19</v>
      </c>
      <c r="O31">
        <v>1046.97</v>
      </c>
    </row>
    <row r="32" spans="1:15">
      <c r="A32" s="101">
        <v>32627</v>
      </c>
      <c r="B32" s="113">
        <f t="shared" si="0"/>
        <v>7.2587000000000002</v>
      </c>
      <c r="C32" s="113">
        <f t="shared" si="1"/>
        <v>854.03899999999999</v>
      </c>
      <c r="D32" s="74">
        <f t="shared" si="2"/>
        <v>77.397190000000009</v>
      </c>
      <c r="E32" s="74">
        <f t="shared" si="6"/>
        <v>7.7581157343954077</v>
      </c>
      <c r="F32" s="113">
        <f t="shared" si="3"/>
        <v>0</v>
      </c>
      <c r="G32" s="115">
        <f t="shared" si="4"/>
        <v>-4.191551564789453E-4</v>
      </c>
      <c r="H32" s="114">
        <f t="shared" si="5"/>
        <v>1046.97</v>
      </c>
      <c r="K32" s="117">
        <v>32658</v>
      </c>
      <c r="L32">
        <v>7.4288999999999996</v>
      </c>
      <c r="M32">
        <v>854039</v>
      </c>
      <c r="N32">
        <v>79212.06</v>
      </c>
      <c r="O32">
        <v>1071.52</v>
      </c>
    </row>
    <row r="33" spans="1:15">
      <c r="A33" s="101">
        <v>32658</v>
      </c>
      <c r="B33" s="113">
        <f t="shared" si="0"/>
        <v>7.4288999999999996</v>
      </c>
      <c r="C33" s="113">
        <f t="shared" si="1"/>
        <v>854.03899999999999</v>
      </c>
      <c r="D33" s="74">
        <f t="shared" si="2"/>
        <v>79.212059999999994</v>
      </c>
      <c r="E33" s="74">
        <f t="shared" si="6"/>
        <v>7.9400328297079836</v>
      </c>
      <c r="F33" s="113">
        <f t="shared" si="3"/>
        <v>0</v>
      </c>
      <c r="G33" s="115">
        <f t="shared" si="4"/>
        <v>-8.1988648092945482E-5</v>
      </c>
      <c r="H33" s="114">
        <f t="shared" si="5"/>
        <v>1071.52</v>
      </c>
      <c r="K33" s="117">
        <v>32688</v>
      </c>
      <c r="L33">
        <v>7.6692</v>
      </c>
      <c r="M33">
        <v>854595</v>
      </c>
      <c r="N33">
        <v>81827.38</v>
      </c>
      <c r="O33">
        <v>1113.5999999999999</v>
      </c>
    </row>
    <row r="34" spans="1:15">
      <c r="A34" s="101">
        <v>32688</v>
      </c>
      <c r="B34" s="113">
        <f t="shared" si="0"/>
        <v>7.6692</v>
      </c>
      <c r="C34" s="113">
        <f t="shared" si="1"/>
        <v>854.59500000000003</v>
      </c>
      <c r="D34" s="74">
        <f t="shared" si="2"/>
        <v>81.827380000000005</v>
      </c>
      <c r="E34" s="74">
        <f t="shared" si="6"/>
        <v>8.2518483641582137</v>
      </c>
      <c r="F34" s="113">
        <f t="shared" si="3"/>
        <v>-4.1972718000003013</v>
      </c>
      <c r="G34" s="115">
        <f t="shared" si="4"/>
        <v>-5.307551992892634E-2</v>
      </c>
      <c r="H34" s="114">
        <f t="shared" si="5"/>
        <v>1113.5999999999999</v>
      </c>
      <c r="K34" s="117">
        <v>32718</v>
      </c>
      <c r="L34">
        <v>7.8895</v>
      </c>
      <c r="M34">
        <v>853784</v>
      </c>
      <c r="N34">
        <v>84097.69</v>
      </c>
      <c r="O34">
        <v>1145.58</v>
      </c>
    </row>
    <row r="35" spans="1:15">
      <c r="A35" s="101">
        <v>32718</v>
      </c>
      <c r="B35" s="113">
        <f t="shared" si="0"/>
        <v>7.8895</v>
      </c>
      <c r="C35" s="113">
        <f t="shared" si="1"/>
        <v>853.78399999999999</v>
      </c>
      <c r="D35" s="74">
        <f t="shared" si="2"/>
        <v>84.09769</v>
      </c>
      <c r="E35" s="74">
        <f t="shared" si="6"/>
        <v>8.4888222422884052</v>
      </c>
      <c r="F35" s="113">
        <f t="shared" si="3"/>
        <v>6.3090528500002758</v>
      </c>
      <c r="G35" s="115">
        <f t="shared" si="4"/>
        <v>8.0205283732343702E-2</v>
      </c>
      <c r="H35" s="114">
        <f t="shared" si="5"/>
        <v>1145.58</v>
      </c>
      <c r="K35" s="117">
        <v>32750</v>
      </c>
      <c r="L35">
        <v>7.8693999999999997</v>
      </c>
      <c r="M35">
        <v>853784</v>
      </c>
      <c r="N35">
        <v>83884.25</v>
      </c>
      <c r="O35">
        <v>1142.67</v>
      </c>
    </row>
    <row r="36" spans="1:15">
      <c r="A36" s="101">
        <v>32750</v>
      </c>
      <c r="B36" s="113">
        <f t="shared" si="0"/>
        <v>7.8693999999999997</v>
      </c>
      <c r="C36" s="113">
        <f t="shared" si="1"/>
        <v>853.78399999999999</v>
      </c>
      <c r="D36" s="74">
        <f t="shared" si="2"/>
        <v>83.884249999999994</v>
      </c>
      <c r="E36" s="74">
        <f t="shared" si="6"/>
        <v>8.4672589531902567</v>
      </c>
      <c r="F36" s="113">
        <f t="shared" si="3"/>
        <v>0</v>
      </c>
      <c r="G36" s="115">
        <f t="shared" si="4"/>
        <v>-8.1484111794127845E-4</v>
      </c>
      <c r="H36" s="114">
        <f t="shared" si="5"/>
        <v>1142.67</v>
      </c>
      <c r="K36" s="117">
        <v>32780</v>
      </c>
      <c r="L36">
        <v>7.6791999999999998</v>
      </c>
      <c r="M36">
        <v>854147</v>
      </c>
      <c r="N36">
        <v>81891.31</v>
      </c>
      <c r="O36">
        <v>1122.27</v>
      </c>
    </row>
    <row r="37" spans="1:15">
      <c r="A37" s="101">
        <v>32780</v>
      </c>
      <c r="B37" s="113">
        <f t="shared" si="0"/>
        <v>7.6791999999999998</v>
      </c>
      <c r="C37" s="113">
        <f t="shared" si="1"/>
        <v>854.14700000000005</v>
      </c>
      <c r="D37" s="74">
        <f t="shared" si="2"/>
        <v>81.891310000000004</v>
      </c>
      <c r="E37" s="74">
        <f t="shared" si="6"/>
        <v>8.3160936275537374</v>
      </c>
      <c r="F37" s="113">
        <f t="shared" si="3"/>
        <v>-2.8220709000004383</v>
      </c>
      <c r="G37" s="115">
        <f t="shared" si="4"/>
        <v>-3.4506101354622842E-2</v>
      </c>
      <c r="H37" s="114">
        <f t="shared" si="5"/>
        <v>1122.27</v>
      </c>
      <c r="K37" s="117">
        <v>32809</v>
      </c>
      <c r="L37">
        <v>7.7693000000000003</v>
      </c>
      <c r="M37">
        <v>854147</v>
      </c>
      <c r="N37">
        <v>82852.19</v>
      </c>
      <c r="O37">
        <v>1135.44</v>
      </c>
    </row>
    <row r="38" spans="1:15">
      <c r="A38" s="101">
        <v>32809</v>
      </c>
      <c r="B38" s="113">
        <f t="shared" si="0"/>
        <v>7.7693000000000003</v>
      </c>
      <c r="C38" s="113">
        <f t="shared" si="1"/>
        <v>854.14700000000005</v>
      </c>
      <c r="D38" s="74">
        <f t="shared" si="2"/>
        <v>82.852190000000007</v>
      </c>
      <c r="E38" s="74">
        <f t="shared" si="6"/>
        <v>8.4136841833690799</v>
      </c>
      <c r="F38" s="113">
        <f t="shared" si="3"/>
        <v>0</v>
      </c>
      <c r="G38" s="115">
        <f t="shared" si="4"/>
        <v>-4.983136264835597E-5</v>
      </c>
      <c r="H38" s="114">
        <f t="shared" si="5"/>
        <v>1135.44</v>
      </c>
      <c r="K38" s="117">
        <v>32841</v>
      </c>
      <c r="L38">
        <v>7.8795000000000002</v>
      </c>
      <c r="M38">
        <v>854147</v>
      </c>
      <c r="N38">
        <v>84026.69</v>
      </c>
      <c r="O38">
        <v>1151.54</v>
      </c>
    </row>
    <row r="39" spans="1:15">
      <c r="A39" s="101">
        <v>32841</v>
      </c>
      <c r="B39" s="113">
        <f t="shared" si="0"/>
        <v>7.8795000000000002</v>
      </c>
      <c r="C39" s="113">
        <f t="shared" si="1"/>
        <v>854.14700000000005</v>
      </c>
      <c r="D39" s="74">
        <f t="shared" si="2"/>
        <v>84.026690000000002</v>
      </c>
      <c r="E39" s="74">
        <f t="shared" si="6"/>
        <v>8.5329862295822156</v>
      </c>
      <c r="F39" s="113">
        <f t="shared" si="3"/>
        <v>0</v>
      </c>
      <c r="G39" s="115">
        <f t="shared" si="4"/>
        <v>6.7811617520252554E-4</v>
      </c>
      <c r="H39" s="114">
        <f t="shared" si="5"/>
        <v>1151.54</v>
      </c>
      <c r="K39" s="117">
        <v>32872</v>
      </c>
      <c r="L39">
        <v>8.4001000000000001</v>
      </c>
      <c r="M39">
        <v>852935</v>
      </c>
      <c r="N39">
        <v>89451.5</v>
      </c>
      <c r="O39">
        <v>1235.95</v>
      </c>
    </row>
    <row r="40" spans="1:15">
      <c r="A40" s="101">
        <v>32872</v>
      </c>
      <c r="B40" s="113">
        <f t="shared" si="0"/>
        <v>8.4001000000000001</v>
      </c>
      <c r="C40" s="113">
        <f t="shared" si="1"/>
        <v>852.93499999999995</v>
      </c>
      <c r="D40" s="74">
        <f t="shared" si="2"/>
        <v>89.451499999999996</v>
      </c>
      <c r="E40" s="74">
        <f t="shared" si="6"/>
        <v>9.1584698147282264</v>
      </c>
      <c r="F40" s="113">
        <f t="shared" si="3"/>
        <v>9.8654376000008384</v>
      </c>
      <c r="G40" s="115">
        <f t="shared" si="4"/>
        <v>0.12684871108572882</v>
      </c>
      <c r="H40" s="114">
        <f t="shared" si="5"/>
        <v>1235.95</v>
      </c>
      <c r="K40" s="117">
        <v>32903</v>
      </c>
      <c r="L40">
        <v>8.6303999999999998</v>
      </c>
      <c r="M40">
        <v>852935</v>
      </c>
      <c r="N40">
        <v>91903.69</v>
      </c>
      <c r="O40">
        <v>1269.83</v>
      </c>
    </row>
    <row r="41" spans="1:15">
      <c r="A41" s="101">
        <v>32903</v>
      </c>
      <c r="B41" s="113">
        <f t="shared" si="0"/>
        <v>8.6303999999999998</v>
      </c>
      <c r="C41" s="113">
        <f t="shared" si="1"/>
        <v>852.93499999999995</v>
      </c>
      <c r="D41" s="74">
        <f t="shared" si="2"/>
        <v>91.903689999999997</v>
      </c>
      <c r="E41" s="74">
        <f t="shared" si="6"/>
        <v>9.4095228163245626</v>
      </c>
      <c r="F41" s="113">
        <f t="shared" si="3"/>
        <v>0</v>
      </c>
      <c r="G41" s="115">
        <f t="shared" si="4"/>
        <v>2.4276270519196785E-4</v>
      </c>
      <c r="H41" s="114">
        <f t="shared" si="5"/>
        <v>1269.83</v>
      </c>
      <c r="K41" s="117">
        <v>32931</v>
      </c>
      <c r="L41">
        <v>8.4400999999999993</v>
      </c>
      <c r="M41">
        <v>852935</v>
      </c>
      <c r="N41">
        <v>89877.94</v>
      </c>
      <c r="O41">
        <v>1241.8499999999999</v>
      </c>
    </row>
    <row r="42" spans="1:15">
      <c r="A42" s="101">
        <v>32931</v>
      </c>
      <c r="B42" s="113">
        <f t="shared" si="0"/>
        <v>8.4400999999999993</v>
      </c>
      <c r="C42" s="113">
        <f t="shared" si="1"/>
        <v>852.93499999999995</v>
      </c>
      <c r="D42" s="74">
        <f t="shared" si="2"/>
        <v>89.877939999999995</v>
      </c>
      <c r="E42" s="74">
        <f t="shared" si="6"/>
        <v>9.2021891981231008</v>
      </c>
      <c r="F42" s="113">
        <f t="shared" si="3"/>
        <v>0</v>
      </c>
      <c r="G42" s="115">
        <f t="shared" si="4"/>
        <v>-7.2295687338019832E-4</v>
      </c>
      <c r="H42" s="114">
        <f t="shared" si="5"/>
        <v>1241.8499999999999</v>
      </c>
      <c r="K42" s="117">
        <v>32962</v>
      </c>
      <c r="L42">
        <v>8.0096000000000007</v>
      </c>
      <c r="M42">
        <v>853833</v>
      </c>
      <c r="N42">
        <v>85383.25</v>
      </c>
      <c r="O42">
        <v>1186.52</v>
      </c>
    </row>
    <row r="43" spans="1:15">
      <c r="A43" s="101">
        <v>32962</v>
      </c>
      <c r="B43" s="113">
        <f t="shared" si="0"/>
        <v>8.0096000000000007</v>
      </c>
      <c r="C43" s="113">
        <f t="shared" si="1"/>
        <v>853.83299999999997</v>
      </c>
      <c r="D43" s="74">
        <f t="shared" si="2"/>
        <v>85.383250000000004</v>
      </c>
      <c r="E43" s="74">
        <f t="shared" si="6"/>
        <v>8.7921903026589536</v>
      </c>
      <c r="F43" s="113">
        <f t="shared" si="3"/>
        <v>-7.3859153000002022</v>
      </c>
      <c r="G43" s="115">
        <f t="shared" si="4"/>
        <v>-8.9669565644949323E-2</v>
      </c>
      <c r="H43" s="114">
        <f t="shared" si="5"/>
        <v>1186.52</v>
      </c>
      <c r="K43" s="117">
        <v>32991</v>
      </c>
      <c r="L43">
        <v>7.6292</v>
      </c>
      <c r="M43">
        <v>853833</v>
      </c>
      <c r="N43">
        <v>81327.5</v>
      </c>
      <c r="O43">
        <v>1130.1600000000001</v>
      </c>
    </row>
    <row r="44" spans="1:15">
      <c r="A44" s="101">
        <v>32991</v>
      </c>
      <c r="B44" s="113">
        <f t="shared" si="0"/>
        <v>7.6292</v>
      </c>
      <c r="C44" s="113">
        <f t="shared" si="1"/>
        <v>853.83299999999997</v>
      </c>
      <c r="D44" s="74">
        <f t="shared" si="2"/>
        <v>81.327500000000001</v>
      </c>
      <c r="E44" s="74">
        <f t="shared" si="6"/>
        <v>8.3745590402631596</v>
      </c>
      <c r="F44" s="113">
        <f t="shared" si="3"/>
        <v>0</v>
      </c>
      <c r="G44" s="115">
        <f t="shared" si="4"/>
        <v>6.4259139032429857E-4</v>
      </c>
      <c r="H44" s="114">
        <f t="shared" si="5"/>
        <v>1130.1600000000001</v>
      </c>
      <c r="K44" s="117">
        <v>33023</v>
      </c>
      <c r="L44">
        <v>7.9695999999999998</v>
      </c>
      <c r="M44">
        <v>1707665</v>
      </c>
      <c r="N44">
        <v>84956.31</v>
      </c>
      <c r="O44">
        <v>1180.5899999999999</v>
      </c>
    </row>
    <row r="45" spans="1:15">
      <c r="A45" s="101">
        <v>33023</v>
      </c>
      <c r="B45" s="113">
        <f t="shared" si="0"/>
        <v>7.9695999999999998</v>
      </c>
      <c r="C45" s="113">
        <f t="shared" si="1"/>
        <v>1707.665</v>
      </c>
      <c r="D45" s="74">
        <f t="shared" si="2"/>
        <v>84.956310000000002</v>
      </c>
      <c r="E45" s="74">
        <f t="shared" si="6"/>
        <v>8.7482486173146121</v>
      </c>
      <c r="F45" s="113">
        <f>-(C45-C44)*(B44+B45)/2</f>
        <v>-6659.3773007999998</v>
      </c>
      <c r="G45" s="115">
        <f t="shared" si="4"/>
        <v>-1.35827085414153E-4</v>
      </c>
      <c r="H45" s="114">
        <f t="shared" si="5"/>
        <v>1180.5899999999999</v>
      </c>
      <c r="K45" s="117">
        <v>33053</v>
      </c>
      <c r="L45">
        <v>7.4690000000000003</v>
      </c>
      <c r="M45">
        <v>1710386</v>
      </c>
      <c r="N45">
        <v>79746.75</v>
      </c>
      <c r="O45">
        <v>1114.8599999999999</v>
      </c>
    </row>
    <row r="46" spans="1:15">
      <c r="A46" s="101">
        <v>33053</v>
      </c>
      <c r="B46" s="113">
        <f t="shared" si="0"/>
        <v>7.4690000000000003</v>
      </c>
      <c r="C46" s="113">
        <f t="shared" si="1"/>
        <v>1710.386</v>
      </c>
      <c r="D46" s="74">
        <f t="shared" si="2"/>
        <v>79.746750000000006</v>
      </c>
      <c r="E46" s="74">
        <f t="shared" si="6"/>
        <v>8.2611850460357683</v>
      </c>
      <c r="F46" s="113">
        <f t="shared" si="3"/>
        <v>-21.00421530000003</v>
      </c>
      <c r="G46" s="115">
        <f t="shared" si="4"/>
        <v>-0.12685949232082017</v>
      </c>
      <c r="H46" s="114">
        <f t="shared" si="5"/>
        <v>1114.8599999999999</v>
      </c>
      <c r="K46" s="117">
        <v>33082</v>
      </c>
      <c r="L46">
        <v>8.0696999999999992</v>
      </c>
      <c r="M46">
        <v>1710386</v>
      </c>
      <c r="N46">
        <v>86160.69</v>
      </c>
      <c r="O46">
        <v>1204.53</v>
      </c>
    </row>
    <row r="47" spans="1:15">
      <c r="A47" s="101">
        <v>33082</v>
      </c>
      <c r="B47" s="113">
        <f t="shared" si="0"/>
        <v>8.0696999999999992</v>
      </c>
      <c r="C47" s="113">
        <f t="shared" si="1"/>
        <v>1710.386</v>
      </c>
      <c r="D47" s="74">
        <f t="shared" si="2"/>
        <v>86.160690000000002</v>
      </c>
      <c r="E47" s="74">
        <f t="shared" si="6"/>
        <v>8.9256455729880564</v>
      </c>
      <c r="F47" s="113">
        <f t="shared" si="3"/>
        <v>0</v>
      </c>
      <c r="G47" s="115">
        <f t="shared" si="4"/>
        <v>-2.4703909493783982E-4</v>
      </c>
      <c r="H47" s="114">
        <f t="shared" si="5"/>
        <v>1204.53</v>
      </c>
      <c r="K47" s="117">
        <v>33115</v>
      </c>
      <c r="L47">
        <v>7.9695999999999998</v>
      </c>
      <c r="M47">
        <v>1712366</v>
      </c>
      <c r="N47">
        <v>85190.19</v>
      </c>
      <c r="O47">
        <v>1189.5899999999999</v>
      </c>
    </row>
    <row r="48" spans="1:15">
      <c r="A48" s="101">
        <v>33115</v>
      </c>
      <c r="B48" s="113">
        <f t="shared" si="0"/>
        <v>7.9695999999999998</v>
      </c>
      <c r="C48" s="113">
        <f t="shared" si="1"/>
        <v>1712.366</v>
      </c>
      <c r="D48" s="74">
        <f t="shared" si="2"/>
        <v>85.190190000000001</v>
      </c>
      <c r="E48" s="74">
        <f t="shared" si="6"/>
        <v>8.8149392021542514</v>
      </c>
      <c r="F48" s="113">
        <f t="shared" si="3"/>
        <v>-15.878907000000144</v>
      </c>
      <c r="G48" s="115">
        <f t="shared" si="4"/>
        <v>-9.8273940666935511E-2</v>
      </c>
      <c r="H48" s="114">
        <f t="shared" si="5"/>
        <v>1189.5899999999999</v>
      </c>
      <c r="K48" s="117">
        <v>33145</v>
      </c>
      <c r="L48">
        <v>7.7092999999999998</v>
      </c>
      <c r="M48">
        <v>1712366</v>
      </c>
      <c r="N48">
        <v>82407.63</v>
      </c>
      <c r="O48">
        <v>1159.1400000000001</v>
      </c>
    </row>
    <row r="49" spans="1:15">
      <c r="A49" s="101">
        <v>33145</v>
      </c>
      <c r="B49" s="113">
        <f t="shared" si="0"/>
        <v>7.7092999999999998</v>
      </c>
      <c r="C49" s="113">
        <f t="shared" si="1"/>
        <v>1712.366</v>
      </c>
      <c r="D49" s="74">
        <f t="shared" si="2"/>
        <v>82.407630000000012</v>
      </c>
      <c r="E49" s="74">
        <f t="shared" si="6"/>
        <v>8.5893027234468011</v>
      </c>
      <c r="F49" s="113">
        <f t="shared" si="3"/>
        <v>0</v>
      </c>
      <c r="G49" s="115">
        <f t="shared" si="4"/>
        <v>1.1088624271504699E-4</v>
      </c>
      <c r="H49" s="114">
        <f t="shared" si="5"/>
        <v>1159.1400000000001</v>
      </c>
      <c r="K49" s="117">
        <v>33176</v>
      </c>
      <c r="L49">
        <v>7.8293999999999997</v>
      </c>
      <c r="M49">
        <v>1712366</v>
      </c>
      <c r="N49">
        <v>83691.88</v>
      </c>
      <c r="O49">
        <v>1177.21</v>
      </c>
    </row>
    <row r="50" spans="1:15">
      <c r="A50" s="101">
        <v>33176</v>
      </c>
      <c r="B50" s="113">
        <f t="shared" si="0"/>
        <v>7.8293999999999997</v>
      </c>
      <c r="C50" s="113">
        <f t="shared" si="1"/>
        <v>1712.366</v>
      </c>
      <c r="D50" s="74">
        <f t="shared" si="2"/>
        <v>83.691879999999998</v>
      </c>
      <c r="E50" s="74">
        <f t="shared" si="6"/>
        <v>8.7232025976748364</v>
      </c>
      <c r="F50" s="113">
        <f t="shared" si="3"/>
        <v>0</v>
      </c>
      <c r="G50" s="115">
        <f t="shared" si="4"/>
        <v>-4.5557469547796714E-4</v>
      </c>
      <c r="H50" s="114">
        <f t="shared" si="5"/>
        <v>1177.21</v>
      </c>
      <c r="K50" s="117">
        <v>33206</v>
      </c>
      <c r="L50">
        <v>7.3688000000000002</v>
      </c>
      <c r="M50">
        <v>1709660</v>
      </c>
      <c r="N50">
        <v>78644.31</v>
      </c>
      <c r="O50">
        <v>1107.96</v>
      </c>
    </row>
    <row r="51" spans="1:15">
      <c r="A51" s="101">
        <v>33206</v>
      </c>
      <c r="B51" s="113">
        <f t="shared" si="0"/>
        <v>7.3688000000000002</v>
      </c>
      <c r="C51" s="113">
        <f t="shared" si="1"/>
        <v>1709.66</v>
      </c>
      <c r="D51" s="74">
        <f t="shared" si="2"/>
        <v>78.644310000000004</v>
      </c>
      <c r="E51" s="74">
        <f t="shared" si="6"/>
        <v>8.2100555976587124</v>
      </c>
      <c r="F51" s="113">
        <f t="shared" si="3"/>
        <v>20.563164599999268</v>
      </c>
      <c r="G51" s="115">
        <f t="shared" si="4"/>
        <v>0.1240152029529682</v>
      </c>
      <c r="H51" s="114">
        <f t="shared" si="5"/>
        <v>1107.96</v>
      </c>
      <c r="K51" s="117">
        <v>33236</v>
      </c>
      <c r="L51">
        <v>8.1698000000000004</v>
      </c>
      <c r="M51">
        <v>1709660</v>
      </c>
      <c r="N51">
        <v>87192.63</v>
      </c>
      <c r="O51">
        <v>1238.51</v>
      </c>
    </row>
    <row r="52" spans="1:15">
      <c r="A52" s="101">
        <v>33236</v>
      </c>
      <c r="B52" s="113">
        <f t="shared" si="0"/>
        <v>8.1698000000000004</v>
      </c>
      <c r="C52" s="113">
        <f t="shared" si="1"/>
        <v>1709.66</v>
      </c>
      <c r="D52" s="74">
        <f t="shared" si="2"/>
        <v>87.192630000000008</v>
      </c>
      <c r="E52" s="74">
        <f t="shared" si="6"/>
        <v>9.1774395810826128</v>
      </c>
      <c r="F52" s="113">
        <f t="shared" si="3"/>
        <v>0</v>
      </c>
      <c r="G52" s="115">
        <f t="shared" si="4"/>
        <v>4.3859162957282649E-4</v>
      </c>
      <c r="H52" s="114">
        <f t="shared" si="5"/>
        <v>1238.51</v>
      </c>
      <c r="K52" s="117">
        <v>33268</v>
      </c>
      <c r="L52">
        <v>8.2499000000000002</v>
      </c>
      <c r="M52">
        <v>1709660</v>
      </c>
      <c r="N52">
        <v>88047.44</v>
      </c>
      <c r="O52">
        <v>1250.6600000000001</v>
      </c>
    </row>
    <row r="53" spans="1:15">
      <c r="A53" s="101">
        <v>33268</v>
      </c>
      <c r="B53" s="113">
        <f t="shared" si="0"/>
        <v>8.2499000000000002</v>
      </c>
      <c r="C53" s="113">
        <f t="shared" si="1"/>
        <v>1709.66</v>
      </c>
      <c r="D53" s="74">
        <f t="shared" si="2"/>
        <v>88.047440000000009</v>
      </c>
      <c r="E53" s="74">
        <f t="shared" si="6"/>
        <v>9.267471870616129</v>
      </c>
      <c r="F53" s="113">
        <f t="shared" si="3"/>
        <v>0</v>
      </c>
      <c r="G53" s="115">
        <f t="shared" si="4"/>
        <v>6.1559034489455655E-5</v>
      </c>
      <c r="H53" s="114">
        <f t="shared" si="5"/>
        <v>1250.6600000000001</v>
      </c>
      <c r="K53" s="117">
        <v>33296</v>
      </c>
      <c r="L53">
        <v>8.7705000000000002</v>
      </c>
      <c r="M53">
        <v>1709660</v>
      </c>
      <c r="N53">
        <v>93603.88</v>
      </c>
      <c r="O53">
        <v>1329.58</v>
      </c>
    </row>
    <row r="54" spans="1:15">
      <c r="A54" s="101">
        <v>33296</v>
      </c>
      <c r="B54" s="113">
        <f t="shared" si="0"/>
        <v>8.7705000000000002</v>
      </c>
      <c r="C54" s="113">
        <f t="shared" si="1"/>
        <v>1709.66</v>
      </c>
      <c r="D54" s="74">
        <f t="shared" si="2"/>
        <v>93.603880000000004</v>
      </c>
      <c r="E54" s="74">
        <f t="shared" si="6"/>
        <v>9.8522741990099565</v>
      </c>
      <c r="F54" s="113">
        <f t="shared" si="3"/>
        <v>0</v>
      </c>
      <c r="G54" s="115">
        <f t="shared" si="4"/>
        <v>-3.1237857428223492E-4</v>
      </c>
      <c r="H54" s="114">
        <f t="shared" si="5"/>
        <v>1329.58</v>
      </c>
      <c r="K54" s="117">
        <v>33327</v>
      </c>
      <c r="L54">
        <v>8.6503999999999994</v>
      </c>
      <c r="M54">
        <v>1709660</v>
      </c>
      <c r="N54">
        <v>92321.63</v>
      </c>
      <c r="O54">
        <v>1321.3</v>
      </c>
    </row>
    <row r="55" spans="1:15">
      <c r="A55" s="101">
        <v>33327</v>
      </c>
      <c r="B55" s="113">
        <f t="shared" si="0"/>
        <v>8.6503999999999994</v>
      </c>
      <c r="C55" s="113">
        <f t="shared" si="1"/>
        <v>1709.66</v>
      </c>
      <c r="D55" s="74">
        <f t="shared" si="2"/>
        <v>92.321629999999999</v>
      </c>
      <c r="E55" s="74">
        <f t="shared" si="6"/>
        <v>9.7909188609574862</v>
      </c>
      <c r="F55" s="113">
        <f t="shared" si="3"/>
        <v>0</v>
      </c>
      <c r="G55" s="115">
        <f t="shared" si="4"/>
        <v>4.7290770194896581E-4</v>
      </c>
      <c r="H55" s="114">
        <f t="shared" si="5"/>
        <v>1321.3</v>
      </c>
      <c r="K55" s="117">
        <v>33355</v>
      </c>
      <c r="L55">
        <v>8.9708000000000006</v>
      </c>
      <c r="M55">
        <v>1709660</v>
      </c>
      <c r="N55">
        <v>95740.88</v>
      </c>
      <c r="O55">
        <v>1370.24</v>
      </c>
    </row>
    <row r="56" spans="1:15">
      <c r="A56" s="101">
        <v>33355</v>
      </c>
      <c r="B56" s="113">
        <f t="shared" si="0"/>
        <v>8.9708000000000006</v>
      </c>
      <c r="C56" s="113">
        <f t="shared" si="1"/>
        <v>1709.66</v>
      </c>
      <c r="D56" s="74">
        <f t="shared" si="2"/>
        <v>95.740880000000004</v>
      </c>
      <c r="E56" s="74">
        <f t="shared" si="6"/>
        <v>10.153567441185487</v>
      </c>
      <c r="F56" s="113">
        <f t="shared" si="3"/>
        <v>0</v>
      </c>
      <c r="G56" s="115">
        <f t="shared" si="4"/>
        <v>2.2774114493095965E-4</v>
      </c>
      <c r="H56" s="114">
        <f t="shared" si="5"/>
        <v>1370.24</v>
      </c>
      <c r="K56" s="117">
        <v>33388</v>
      </c>
      <c r="L56">
        <v>9.2911999999999999</v>
      </c>
      <c r="M56">
        <v>1696558</v>
      </c>
      <c r="N56">
        <v>98400.38</v>
      </c>
      <c r="O56">
        <v>1419.18</v>
      </c>
    </row>
    <row r="57" spans="1:15">
      <c r="A57" s="101">
        <v>33388</v>
      </c>
      <c r="B57" s="113">
        <f t="shared" si="0"/>
        <v>9.2911999999999999</v>
      </c>
      <c r="C57" s="113">
        <f t="shared" si="1"/>
        <v>1696.558</v>
      </c>
      <c r="D57" s="74">
        <f t="shared" si="2"/>
        <v>98.400379999999998</v>
      </c>
      <c r="E57" s="74">
        <f t="shared" si="6"/>
        <v>10.51621602141349</v>
      </c>
      <c r="F57" s="113">
        <f t="shared" si="3"/>
        <v>119.63436200000082</v>
      </c>
      <c r="G57" s="115">
        <f t="shared" si="4"/>
        <v>0.75996960716992668</v>
      </c>
      <c r="H57" s="114">
        <f t="shared" si="5"/>
        <v>1419.18</v>
      </c>
      <c r="K57" s="117">
        <v>33418</v>
      </c>
      <c r="L57">
        <v>9.0307999999999993</v>
      </c>
      <c r="M57">
        <v>1693877</v>
      </c>
      <c r="N57">
        <v>95492.31</v>
      </c>
      <c r="O57">
        <v>1389.45</v>
      </c>
    </row>
    <row r="58" spans="1:15">
      <c r="A58" s="101">
        <v>33418</v>
      </c>
      <c r="B58" s="113">
        <f t="shared" si="0"/>
        <v>9.0307999999999993</v>
      </c>
      <c r="C58" s="113">
        <f t="shared" si="1"/>
        <v>1693.877</v>
      </c>
      <c r="D58" s="74">
        <f t="shared" si="2"/>
        <v>95.492310000000003</v>
      </c>
      <c r="E58" s="74">
        <f t="shared" si="6"/>
        <v>10.295914789493208</v>
      </c>
      <c r="F58" s="113">
        <f t="shared" si="3"/>
        <v>24.560641000000366</v>
      </c>
      <c r="G58" s="115">
        <f t="shared" si="4"/>
        <v>0.15024980971240431</v>
      </c>
      <c r="H58" s="114">
        <f t="shared" si="5"/>
        <v>1389.45</v>
      </c>
      <c r="K58" s="117">
        <v>33449</v>
      </c>
      <c r="L58">
        <v>9.4512999999999998</v>
      </c>
      <c r="M58">
        <v>1693877</v>
      </c>
      <c r="N58">
        <v>99938.75</v>
      </c>
      <c r="O58">
        <v>1454.14</v>
      </c>
    </row>
    <row r="59" spans="1:15">
      <c r="A59" s="101">
        <v>33449</v>
      </c>
      <c r="B59" s="113">
        <f t="shared" si="0"/>
        <v>9.4512999999999998</v>
      </c>
      <c r="C59" s="113">
        <f t="shared" si="1"/>
        <v>1693.877</v>
      </c>
      <c r="D59" s="74">
        <f t="shared" si="2"/>
        <v>99.938749999999999</v>
      </c>
      <c r="E59" s="74">
        <f t="shared" si="6"/>
        <v>10.775271893190581</v>
      </c>
      <c r="F59" s="113">
        <f t="shared" si="3"/>
        <v>0</v>
      </c>
      <c r="G59" s="115">
        <f t="shared" si="4"/>
        <v>-4.3628139255069698E-5</v>
      </c>
      <c r="H59" s="114">
        <f t="shared" si="5"/>
        <v>1454.14</v>
      </c>
      <c r="K59" s="117">
        <v>33480</v>
      </c>
      <c r="L59">
        <v>9.4313000000000002</v>
      </c>
      <c r="M59">
        <v>1693877</v>
      </c>
      <c r="N59">
        <v>99727</v>
      </c>
      <c r="O59">
        <v>1451.06</v>
      </c>
    </row>
    <row r="60" spans="1:15">
      <c r="A60" s="101">
        <v>33480</v>
      </c>
      <c r="B60" s="113">
        <f t="shared" si="0"/>
        <v>9.4313000000000002</v>
      </c>
      <c r="C60" s="113">
        <f t="shared" si="1"/>
        <v>1693.877</v>
      </c>
      <c r="D60" s="74">
        <f t="shared" si="2"/>
        <v>99.727000000000004</v>
      </c>
      <c r="E60" s="74">
        <f t="shared" si="6"/>
        <v>10.752448893045459</v>
      </c>
      <c r="F60" s="113">
        <f t="shared" si="3"/>
        <v>0</v>
      </c>
      <c r="G60" s="115">
        <f t="shared" si="4"/>
        <v>2.6851068107142106E-4</v>
      </c>
      <c r="H60" s="114">
        <f t="shared" si="5"/>
        <v>1451.06</v>
      </c>
      <c r="K60" s="117">
        <v>33509</v>
      </c>
      <c r="L60">
        <v>10.212300000000001</v>
      </c>
      <c r="M60">
        <v>1682426</v>
      </c>
      <c r="N60">
        <v>107254.7</v>
      </c>
      <c r="O60">
        <v>1581.36</v>
      </c>
    </row>
    <row r="61" spans="1:15">
      <c r="A61" s="101">
        <v>33509</v>
      </c>
      <c r="B61" s="113">
        <f t="shared" si="0"/>
        <v>10.212300000000001</v>
      </c>
      <c r="C61" s="113">
        <f t="shared" si="1"/>
        <v>1682.4259999999999</v>
      </c>
      <c r="D61" s="74">
        <f t="shared" si="2"/>
        <v>107.2547</v>
      </c>
      <c r="E61" s="74">
        <f t="shared" si="6"/>
        <v>11.717980360223812</v>
      </c>
      <c r="F61" s="113">
        <f t="shared" si="3"/>
        <v>112.46943180000021</v>
      </c>
      <c r="G61" s="115">
        <f t="shared" si="4"/>
        <v>0.73062992270419258</v>
      </c>
      <c r="H61" s="114">
        <f t="shared" si="5"/>
        <v>1581.36</v>
      </c>
      <c r="K61" s="117">
        <v>33541</v>
      </c>
      <c r="L61">
        <v>10.132199999999999</v>
      </c>
      <c r="M61">
        <v>1682426</v>
      </c>
      <c r="N61">
        <v>106413.4</v>
      </c>
      <c r="O61">
        <v>1568.96</v>
      </c>
    </row>
    <row r="62" spans="1:15">
      <c r="A62" s="101">
        <v>33541</v>
      </c>
      <c r="B62" s="113">
        <f t="shared" si="0"/>
        <v>10.132199999999999</v>
      </c>
      <c r="C62" s="113">
        <f t="shared" si="1"/>
        <v>1682.4259999999999</v>
      </c>
      <c r="D62" s="74">
        <f t="shared" si="2"/>
        <v>106.4134</v>
      </c>
      <c r="E62" s="74">
        <f t="shared" si="6"/>
        <v>11.626095554444753</v>
      </c>
      <c r="F62" s="113">
        <f t="shared" si="3"/>
        <v>0</v>
      </c>
      <c r="G62" s="115">
        <f t="shared" si="4"/>
        <v>4.9599012944656629E-5</v>
      </c>
      <c r="H62" s="114">
        <f t="shared" si="5"/>
        <v>1568.96</v>
      </c>
      <c r="K62" s="117">
        <v>33571</v>
      </c>
      <c r="L62">
        <v>10.7529</v>
      </c>
      <c r="M62">
        <v>1670274</v>
      </c>
      <c r="N62">
        <v>112117.1</v>
      </c>
      <c r="O62">
        <v>1665.08</v>
      </c>
    </row>
    <row r="63" spans="1:15">
      <c r="A63" s="101">
        <v>33571</v>
      </c>
      <c r="B63" s="113">
        <f t="shared" si="0"/>
        <v>10.7529</v>
      </c>
      <c r="C63" s="113">
        <f t="shared" si="1"/>
        <v>1670.2739999999999</v>
      </c>
      <c r="D63" s="74">
        <f t="shared" si="2"/>
        <v>112.11710000000001</v>
      </c>
      <c r="E63" s="74">
        <f t="shared" si="6"/>
        <v>12.338351000532116</v>
      </c>
      <c r="F63" s="113">
        <f t="shared" si="3"/>
        <v>126.89786760000047</v>
      </c>
      <c r="G63" s="115">
        <f t="shared" si="4"/>
        <v>0.815199881565702</v>
      </c>
      <c r="H63" s="114">
        <f t="shared" si="5"/>
        <v>1665.08</v>
      </c>
      <c r="K63" s="117">
        <v>33600</v>
      </c>
      <c r="L63">
        <v>11.533799999999999</v>
      </c>
      <c r="M63">
        <v>1670274</v>
      </c>
      <c r="N63">
        <v>120259.8</v>
      </c>
      <c r="O63">
        <v>1797.46</v>
      </c>
    </row>
    <row r="64" spans="1:15">
      <c r="A64" s="101">
        <v>33600</v>
      </c>
      <c r="B64" s="113">
        <f t="shared" si="0"/>
        <v>11.533799999999999</v>
      </c>
      <c r="C64" s="113">
        <f t="shared" si="1"/>
        <v>1670.2739999999999</v>
      </c>
      <c r="D64" s="74">
        <f t="shared" si="2"/>
        <v>120.2598</v>
      </c>
      <c r="E64" s="74">
        <f t="shared" si="6"/>
        <v>13.319295402873411</v>
      </c>
      <c r="F64" s="113">
        <f t="shared" si="3"/>
        <v>0</v>
      </c>
      <c r="G64" s="115">
        <f t="shared" si="4"/>
        <v>-5.0176603520846186E-4</v>
      </c>
      <c r="H64" s="114">
        <f t="shared" si="5"/>
        <v>1797.46</v>
      </c>
      <c r="K64" s="117">
        <v>33633</v>
      </c>
      <c r="L64">
        <v>12.2948</v>
      </c>
      <c r="M64">
        <v>1670274</v>
      </c>
      <c r="N64">
        <v>128193.60000000001</v>
      </c>
      <c r="O64">
        <v>1916.04</v>
      </c>
    </row>
    <row r="65" spans="1:15">
      <c r="A65" s="101">
        <v>33633</v>
      </c>
      <c r="B65" s="113">
        <f t="shared" si="0"/>
        <v>12.2948</v>
      </c>
      <c r="C65" s="113">
        <f t="shared" si="1"/>
        <v>1670.2739999999999</v>
      </c>
      <c r="D65" s="74">
        <f t="shared" si="2"/>
        <v>128.1936</v>
      </c>
      <c r="E65" s="74">
        <f t="shared" si="6"/>
        <v>14.197980908460588</v>
      </c>
      <c r="F65" s="113">
        <f t="shared" si="3"/>
        <v>0</v>
      </c>
      <c r="G65" s="115">
        <f t="shared" si="4"/>
        <v>9.4031108569048172E-4</v>
      </c>
      <c r="H65" s="114">
        <f t="shared" si="5"/>
        <v>1916.04</v>
      </c>
      <c r="K65" s="117">
        <v>33662</v>
      </c>
      <c r="L65">
        <v>12.0945</v>
      </c>
      <c r="M65">
        <v>1670274</v>
      </c>
      <c r="N65">
        <v>126105.7</v>
      </c>
      <c r="O65">
        <v>1884.83</v>
      </c>
    </row>
    <row r="66" spans="1:15">
      <c r="A66" s="101">
        <v>33662</v>
      </c>
      <c r="B66" s="113">
        <f t="shared" si="0"/>
        <v>12.0945</v>
      </c>
      <c r="C66" s="113">
        <f t="shared" si="1"/>
        <v>1670.2739999999999</v>
      </c>
      <c r="D66" s="74">
        <f t="shared" si="2"/>
        <v>126.1057</v>
      </c>
      <c r="E66" s="74">
        <f t="shared" si="6"/>
        <v>13.966712780366677</v>
      </c>
      <c r="F66" s="113">
        <f t="shared" si="3"/>
        <v>0</v>
      </c>
      <c r="G66" s="115">
        <f t="shared" si="4"/>
        <v>-5.583791521637238E-4</v>
      </c>
      <c r="H66" s="114">
        <f t="shared" si="5"/>
        <v>1884.83</v>
      </c>
      <c r="K66" s="117">
        <v>33691</v>
      </c>
      <c r="L66">
        <v>12.475</v>
      </c>
      <c r="M66">
        <v>1670274</v>
      </c>
      <c r="N66">
        <v>130072.6</v>
      </c>
      <c r="O66">
        <v>1955.61</v>
      </c>
    </row>
    <row r="67" spans="1:15">
      <c r="A67" s="101">
        <v>33691</v>
      </c>
      <c r="B67" s="113">
        <f t="shared" si="0"/>
        <v>12.475</v>
      </c>
      <c r="C67" s="113">
        <f t="shared" si="1"/>
        <v>1670.2739999999999</v>
      </c>
      <c r="D67" s="74">
        <f t="shared" si="2"/>
        <v>130.07259999999999</v>
      </c>
      <c r="E67" s="74">
        <f t="shared" si="6"/>
        <v>14.491197179805541</v>
      </c>
      <c r="F67" s="113">
        <f t="shared" si="3"/>
        <v>0</v>
      </c>
      <c r="G67" s="115">
        <f t="shared" si="4"/>
        <v>4.5862168754462473E-4</v>
      </c>
      <c r="H67" s="114">
        <f t="shared" si="5"/>
        <v>1955.61</v>
      </c>
      <c r="K67" s="117">
        <v>33723</v>
      </c>
      <c r="L67">
        <v>12.3749</v>
      </c>
      <c r="M67">
        <v>1662526</v>
      </c>
      <c r="N67">
        <v>128430.1</v>
      </c>
      <c r="O67">
        <v>1939.91</v>
      </c>
    </row>
    <row r="68" spans="1:15">
      <c r="A68" s="101">
        <v>33723</v>
      </c>
      <c r="B68" s="113">
        <f t="shared" si="0"/>
        <v>12.3749</v>
      </c>
      <c r="C68" s="113">
        <f t="shared" si="1"/>
        <v>1662.5260000000001</v>
      </c>
      <c r="D68" s="74">
        <f t="shared" si="2"/>
        <v>128.43010000000001</v>
      </c>
      <c r="E68" s="74">
        <f t="shared" si="6"/>
        <v>14.374859159585279</v>
      </c>
      <c r="F68" s="113">
        <f t="shared" si="3"/>
        <v>96.268512599997749</v>
      </c>
      <c r="G68" s="115">
        <f t="shared" si="4"/>
        <v>0.59879120160318955</v>
      </c>
      <c r="H68" s="114">
        <f t="shared" si="5"/>
        <v>1939.91</v>
      </c>
      <c r="K68" s="117">
        <v>33754</v>
      </c>
      <c r="L68">
        <v>13.2559</v>
      </c>
      <c r="M68">
        <v>1662526</v>
      </c>
      <c r="N68">
        <v>137574.1</v>
      </c>
      <c r="O68">
        <v>2078.0300000000002</v>
      </c>
    </row>
    <row r="69" spans="1:15">
      <c r="A69" s="101">
        <v>33754</v>
      </c>
      <c r="B69" s="113">
        <f t="shared" ref="B69:B132" si="7">L68</f>
        <v>13.2559</v>
      </c>
      <c r="C69" s="113">
        <f t="shared" ref="C69:C132" si="8">M68/1000</f>
        <v>1662.5260000000001</v>
      </c>
      <c r="D69" s="74">
        <f t="shared" ref="D69:D132" si="9">N68/1000</f>
        <v>137.57410000000002</v>
      </c>
      <c r="E69" s="74">
        <f t="shared" ref="E69:E132" si="10">H69/H68*E68</f>
        <v>15.398337334924301</v>
      </c>
      <c r="F69" s="113">
        <f t="shared" ref="F69:F132" si="11">-(C69-C68)*(B68+B69)/2</f>
        <v>0</v>
      </c>
      <c r="G69" s="115">
        <f t="shared" ref="G69:G132" si="12">-((D69-D68)-D68*(B69/B68-1))</f>
        <v>-7.4081406718917719E-4</v>
      </c>
      <c r="H69" s="114">
        <f t="shared" ref="H69:H132" si="13">O68</f>
        <v>2078.0300000000002</v>
      </c>
      <c r="K69" s="117">
        <v>33782</v>
      </c>
      <c r="L69">
        <v>13.896699999999999</v>
      </c>
      <c r="M69">
        <v>1662526</v>
      </c>
      <c r="N69">
        <v>144224.1</v>
      </c>
      <c r="O69">
        <v>2178.48</v>
      </c>
    </row>
    <row r="70" spans="1:15">
      <c r="A70" s="101">
        <v>33782</v>
      </c>
      <c r="B70" s="113">
        <f t="shared" si="7"/>
        <v>13.896699999999999</v>
      </c>
      <c r="C70" s="113">
        <f t="shared" si="8"/>
        <v>1662.5260000000001</v>
      </c>
      <c r="D70" s="74">
        <f t="shared" si="9"/>
        <v>144.22409999999999</v>
      </c>
      <c r="E70" s="74">
        <f t="shared" si="10"/>
        <v>16.142678362384512</v>
      </c>
      <c r="F70" s="113">
        <f t="shared" si="11"/>
        <v>0</v>
      </c>
      <c r="G70" s="115">
        <f t="shared" si="12"/>
        <v>4.3363936059037655E-4</v>
      </c>
      <c r="H70" s="114">
        <f t="shared" si="13"/>
        <v>2178.48</v>
      </c>
      <c r="K70" s="117">
        <v>33815</v>
      </c>
      <c r="L70">
        <v>13.175800000000001</v>
      </c>
      <c r="M70">
        <v>1659754</v>
      </c>
      <c r="N70">
        <v>136514.79999999999</v>
      </c>
      <c r="O70">
        <v>2076.36</v>
      </c>
    </row>
    <row r="71" spans="1:15">
      <c r="A71" s="101">
        <v>33815</v>
      </c>
      <c r="B71" s="113">
        <f t="shared" si="7"/>
        <v>13.175800000000001</v>
      </c>
      <c r="C71" s="113">
        <f t="shared" si="8"/>
        <v>1659.7539999999999</v>
      </c>
      <c r="D71" s="74">
        <f t="shared" si="9"/>
        <v>136.51479999999998</v>
      </c>
      <c r="E71" s="74">
        <f t="shared" si="10"/>
        <v>15.385962526404056</v>
      </c>
      <c r="F71" s="113">
        <f t="shared" si="11"/>
        <v>37.522485000002192</v>
      </c>
      <c r="G71" s="115">
        <f t="shared" si="12"/>
        <v>0.22758465103227987</v>
      </c>
      <c r="H71" s="114">
        <f t="shared" si="13"/>
        <v>2076.36</v>
      </c>
      <c r="K71" s="117">
        <v>33845</v>
      </c>
      <c r="L71">
        <v>13.316000000000001</v>
      </c>
      <c r="M71">
        <v>1659754</v>
      </c>
      <c r="N71">
        <v>137967.1</v>
      </c>
      <c r="O71">
        <v>2098.4499999999998</v>
      </c>
    </row>
    <row r="72" spans="1:15">
      <c r="A72" s="101">
        <v>33845</v>
      </c>
      <c r="B72" s="113">
        <f t="shared" si="7"/>
        <v>13.316000000000001</v>
      </c>
      <c r="C72" s="113">
        <f t="shared" si="8"/>
        <v>1659.7539999999999</v>
      </c>
      <c r="D72" s="74">
        <f t="shared" si="9"/>
        <v>137.96710000000002</v>
      </c>
      <c r="E72" s="74">
        <f t="shared" si="10"/>
        <v>15.549650861860462</v>
      </c>
      <c r="F72" s="113">
        <f t="shared" si="11"/>
        <v>0</v>
      </c>
      <c r="G72" s="115">
        <f t="shared" si="12"/>
        <v>3.1577741006350024E-4</v>
      </c>
      <c r="H72" s="114">
        <f t="shared" si="13"/>
        <v>2098.4499999999998</v>
      </c>
      <c r="K72" s="117">
        <v>33876</v>
      </c>
      <c r="L72">
        <v>14.577500000000001</v>
      </c>
      <c r="M72">
        <v>1651254</v>
      </c>
      <c r="N72">
        <v>150264.1</v>
      </c>
      <c r="O72">
        <v>2308.94</v>
      </c>
    </row>
    <row r="73" spans="1:15">
      <c r="A73" s="101">
        <v>33876</v>
      </c>
      <c r="B73" s="113">
        <f t="shared" si="7"/>
        <v>14.577500000000001</v>
      </c>
      <c r="C73" s="113">
        <f t="shared" si="8"/>
        <v>1651.2539999999999</v>
      </c>
      <c r="D73" s="74">
        <f t="shared" si="9"/>
        <v>150.26410000000001</v>
      </c>
      <c r="E73" s="74">
        <f t="shared" si="10"/>
        <v>17.109395439960014</v>
      </c>
      <c r="F73" s="113">
        <f t="shared" si="11"/>
        <v>118.54737500000002</v>
      </c>
      <c r="G73" s="115">
        <f t="shared" si="12"/>
        <v>0.77340377365576707</v>
      </c>
      <c r="H73" s="114">
        <f t="shared" si="13"/>
        <v>2308.94</v>
      </c>
      <c r="K73" s="117">
        <v>33907</v>
      </c>
      <c r="L73">
        <v>15.4986</v>
      </c>
      <c r="M73">
        <v>1651254</v>
      </c>
      <c r="N73">
        <v>159758.9</v>
      </c>
      <c r="O73">
        <v>2454.84</v>
      </c>
    </row>
    <row r="74" spans="1:15">
      <c r="A74" s="101">
        <v>33907</v>
      </c>
      <c r="B74" s="113">
        <f t="shared" si="7"/>
        <v>15.4986</v>
      </c>
      <c r="C74" s="113">
        <f t="shared" si="8"/>
        <v>1651.2539999999999</v>
      </c>
      <c r="D74" s="74">
        <f t="shared" si="9"/>
        <v>159.75889999999998</v>
      </c>
      <c r="E74" s="74">
        <f t="shared" si="10"/>
        <v>18.190523920860414</v>
      </c>
      <c r="F74" s="113">
        <f t="shared" si="11"/>
        <v>0</v>
      </c>
      <c r="G74" s="115">
        <f t="shared" si="12"/>
        <v>-1.4985354140861773E-4</v>
      </c>
      <c r="H74" s="114">
        <f t="shared" si="13"/>
        <v>2454.84</v>
      </c>
      <c r="K74" s="117">
        <v>33936</v>
      </c>
      <c r="L74">
        <v>16.66</v>
      </c>
      <c r="M74">
        <v>1651254</v>
      </c>
      <c r="N74">
        <v>171730.4</v>
      </c>
      <c r="O74">
        <v>2638.79</v>
      </c>
    </row>
    <row r="75" spans="1:15">
      <c r="A75" s="101">
        <v>33936</v>
      </c>
      <c r="B75" s="113">
        <f t="shared" si="7"/>
        <v>16.66</v>
      </c>
      <c r="C75" s="113">
        <f t="shared" si="8"/>
        <v>1651.2539999999999</v>
      </c>
      <c r="D75" s="74">
        <f t="shared" si="9"/>
        <v>171.7304</v>
      </c>
      <c r="E75" s="74">
        <f t="shared" si="10"/>
        <v>19.553605374332847</v>
      </c>
      <c r="F75" s="113">
        <f t="shared" si="11"/>
        <v>0</v>
      </c>
      <c r="G75" s="115">
        <f t="shared" si="12"/>
        <v>1.6108293648997574E-4</v>
      </c>
      <c r="H75" s="114">
        <f t="shared" si="13"/>
        <v>2638.79</v>
      </c>
      <c r="K75" s="117">
        <v>33968</v>
      </c>
      <c r="L75">
        <v>15.839</v>
      </c>
      <c r="M75">
        <v>1646420</v>
      </c>
      <c r="N75">
        <v>162789.79999999999</v>
      </c>
      <c r="O75">
        <v>2521.48</v>
      </c>
    </row>
    <row r="76" spans="1:15">
      <c r="A76" s="101">
        <v>33968</v>
      </c>
      <c r="B76" s="113">
        <f t="shared" si="7"/>
        <v>15.839</v>
      </c>
      <c r="C76" s="113">
        <f t="shared" si="8"/>
        <v>1646.42</v>
      </c>
      <c r="D76" s="74">
        <f t="shared" si="9"/>
        <v>162.78979999999999</v>
      </c>
      <c r="E76" s="74">
        <f t="shared" si="10"/>
        <v>18.68433065127304</v>
      </c>
      <c r="F76" s="113">
        <f t="shared" si="11"/>
        <v>78.550082999997286</v>
      </c>
      <c r="G76" s="115">
        <f t="shared" si="12"/>
        <v>0.47777536614647964</v>
      </c>
      <c r="H76" s="114">
        <f t="shared" si="13"/>
        <v>2521.48</v>
      </c>
      <c r="K76" s="117">
        <v>33999</v>
      </c>
      <c r="L76">
        <v>16.579899999999999</v>
      </c>
      <c r="M76">
        <v>1646420</v>
      </c>
      <c r="N76">
        <v>170404.5</v>
      </c>
      <c r="O76">
        <v>2639.43</v>
      </c>
    </row>
    <row r="77" spans="1:15">
      <c r="A77" s="101">
        <v>33999</v>
      </c>
      <c r="B77" s="113">
        <f t="shared" si="7"/>
        <v>16.579899999999999</v>
      </c>
      <c r="C77" s="113">
        <f t="shared" si="8"/>
        <v>1646.42</v>
      </c>
      <c r="D77" s="74">
        <f t="shared" si="9"/>
        <v>170.40450000000001</v>
      </c>
      <c r="E77" s="74">
        <f t="shared" si="10"/>
        <v>19.558347815921444</v>
      </c>
      <c r="F77" s="113">
        <f t="shared" si="11"/>
        <v>0</v>
      </c>
      <c r="G77" s="115">
        <f t="shared" si="12"/>
        <v>1.0919376218865295E-4</v>
      </c>
      <c r="H77" s="114">
        <f t="shared" si="13"/>
        <v>2639.43</v>
      </c>
      <c r="K77" s="117">
        <v>34027</v>
      </c>
      <c r="L77">
        <v>16.479800000000001</v>
      </c>
      <c r="M77">
        <v>1646420</v>
      </c>
      <c r="N77">
        <v>169375.5</v>
      </c>
      <c r="O77">
        <v>2623.49</v>
      </c>
    </row>
    <row r="78" spans="1:15">
      <c r="A78" s="101">
        <v>34027</v>
      </c>
      <c r="B78" s="113">
        <f t="shared" si="7"/>
        <v>16.479800000000001</v>
      </c>
      <c r="C78" s="113">
        <f t="shared" si="8"/>
        <v>1646.42</v>
      </c>
      <c r="D78" s="74">
        <f t="shared" si="9"/>
        <v>169.37549999999999</v>
      </c>
      <c r="E78" s="74">
        <f t="shared" si="10"/>
        <v>19.440231380105455</v>
      </c>
      <c r="F78" s="113">
        <f t="shared" si="11"/>
        <v>0</v>
      </c>
      <c r="G78" s="115">
        <f t="shared" si="12"/>
        <v>1.9461215091021167E-4</v>
      </c>
      <c r="H78" s="114">
        <f t="shared" si="13"/>
        <v>2623.49</v>
      </c>
      <c r="K78" s="117">
        <v>34058</v>
      </c>
      <c r="L78">
        <v>15.899100000000001</v>
      </c>
      <c r="M78">
        <v>1646420</v>
      </c>
      <c r="N78">
        <v>163407.29999999999</v>
      </c>
      <c r="O78">
        <v>2544.0300000000002</v>
      </c>
    </row>
    <row r="79" spans="1:15">
      <c r="A79" s="101">
        <v>34058</v>
      </c>
      <c r="B79" s="113">
        <f t="shared" si="7"/>
        <v>15.899100000000001</v>
      </c>
      <c r="C79" s="113">
        <f t="shared" si="8"/>
        <v>1646.42</v>
      </c>
      <c r="D79" s="74">
        <f t="shared" si="9"/>
        <v>163.40729999999999</v>
      </c>
      <c r="E79" s="74">
        <f t="shared" si="10"/>
        <v>18.851427616621251</v>
      </c>
      <c r="F79" s="113">
        <f t="shared" si="11"/>
        <v>0</v>
      </c>
      <c r="G79" s="115">
        <f t="shared" si="12"/>
        <v>-9.7725093752387693E-5</v>
      </c>
      <c r="H79" s="114">
        <f t="shared" si="13"/>
        <v>2544.0300000000002</v>
      </c>
      <c r="K79" s="117">
        <v>34088</v>
      </c>
      <c r="L79">
        <v>17.781300000000002</v>
      </c>
      <c r="M79">
        <v>1640182</v>
      </c>
      <c r="N79">
        <v>182060.3</v>
      </c>
      <c r="O79">
        <v>2845.21</v>
      </c>
    </row>
    <row r="80" spans="1:15">
      <c r="A80" s="101">
        <v>34088</v>
      </c>
      <c r="B80" s="113">
        <f t="shared" si="7"/>
        <v>17.781300000000002</v>
      </c>
      <c r="C80" s="113">
        <f t="shared" si="8"/>
        <v>1640.182</v>
      </c>
      <c r="D80" s="74">
        <f t="shared" si="9"/>
        <v>182.06029999999998</v>
      </c>
      <c r="E80" s="74">
        <f t="shared" si="10"/>
        <v>21.083190987954918</v>
      </c>
      <c r="F80" s="113">
        <f t="shared" si="11"/>
        <v>105.04916760000097</v>
      </c>
      <c r="G80" s="115">
        <f t="shared" si="12"/>
        <v>0.69181952185974538</v>
      </c>
      <c r="H80" s="114">
        <f t="shared" si="13"/>
        <v>2845.21</v>
      </c>
      <c r="K80" s="117">
        <v>34118</v>
      </c>
      <c r="L80">
        <v>19.3432</v>
      </c>
      <c r="M80">
        <v>3266383</v>
      </c>
      <c r="N80">
        <v>197207.8</v>
      </c>
      <c r="O80">
        <v>3095.13</v>
      </c>
    </row>
    <row r="81" spans="1:15">
      <c r="A81" s="101">
        <v>34118</v>
      </c>
      <c r="B81" s="113">
        <f t="shared" si="7"/>
        <v>19.3432</v>
      </c>
      <c r="C81" s="113">
        <f t="shared" si="8"/>
        <v>3266.3829999999998</v>
      </c>
      <c r="D81" s="74">
        <f t="shared" si="9"/>
        <v>197.20779999999999</v>
      </c>
      <c r="E81" s="74">
        <f t="shared" si="10"/>
        <v>22.935114428301919</v>
      </c>
      <c r="F81" s="113">
        <f t="shared" si="11"/>
        <v>-30185.949512249994</v>
      </c>
      <c r="G81" s="115">
        <f t="shared" si="12"/>
        <v>0.84458058859587126</v>
      </c>
      <c r="H81" s="114">
        <f t="shared" si="13"/>
        <v>3095.13</v>
      </c>
      <c r="K81" s="117">
        <v>34149</v>
      </c>
      <c r="L81">
        <v>20.824999999999999</v>
      </c>
      <c r="M81">
        <v>3266383</v>
      </c>
      <c r="N81">
        <v>212314.9</v>
      </c>
      <c r="O81">
        <v>3332.23</v>
      </c>
    </row>
    <row r="82" spans="1:15">
      <c r="A82" s="101">
        <v>34149</v>
      </c>
      <c r="B82" s="113">
        <f t="shared" si="7"/>
        <v>20.824999999999999</v>
      </c>
      <c r="C82" s="113">
        <f t="shared" si="8"/>
        <v>3266.3829999999998</v>
      </c>
      <c r="D82" s="74">
        <f t="shared" si="9"/>
        <v>212.31489999999999</v>
      </c>
      <c r="E82" s="74">
        <f t="shared" si="10"/>
        <v>24.692040835577345</v>
      </c>
      <c r="F82" s="113">
        <f t="shared" si="11"/>
        <v>0</v>
      </c>
      <c r="G82" s="115">
        <f t="shared" si="12"/>
        <v>1.4792381816342015E-4</v>
      </c>
      <c r="H82" s="114">
        <f t="shared" si="13"/>
        <v>3332.23</v>
      </c>
      <c r="K82" s="117">
        <v>34180</v>
      </c>
      <c r="L82">
        <v>22.466999999999999</v>
      </c>
      <c r="M82">
        <v>3266383</v>
      </c>
      <c r="N82">
        <v>229055.1</v>
      </c>
      <c r="O82">
        <v>3608.8</v>
      </c>
    </row>
    <row r="83" spans="1:15">
      <c r="A83" s="101">
        <v>34180</v>
      </c>
      <c r="B83" s="113">
        <f t="shared" si="7"/>
        <v>22.466999999999999</v>
      </c>
      <c r="C83" s="113">
        <f t="shared" si="8"/>
        <v>3266.3829999999998</v>
      </c>
      <c r="D83" s="74">
        <f t="shared" si="9"/>
        <v>229.05510000000001</v>
      </c>
      <c r="E83" s="74">
        <f t="shared" si="10"/>
        <v>26.741442507699507</v>
      </c>
      <c r="F83" s="113">
        <f t="shared" si="11"/>
        <v>0</v>
      </c>
      <c r="G83" s="115">
        <f t="shared" si="12"/>
        <v>3.0736134452524766E-4</v>
      </c>
      <c r="H83" s="114">
        <f t="shared" si="13"/>
        <v>3608.8</v>
      </c>
      <c r="K83" s="117">
        <v>34209</v>
      </c>
      <c r="L83">
        <v>20.0441</v>
      </c>
      <c r="M83">
        <v>3266088</v>
      </c>
      <c r="N83">
        <v>204334.6</v>
      </c>
      <c r="O83">
        <v>3219.61</v>
      </c>
    </row>
    <row r="84" spans="1:15">
      <c r="A84" s="101">
        <v>34209</v>
      </c>
      <c r="B84" s="113">
        <f t="shared" si="7"/>
        <v>20.0441</v>
      </c>
      <c r="C84" s="113">
        <f t="shared" si="8"/>
        <v>3266.0880000000002</v>
      </c>
      <c r="D84" s="74">
        <f t="shared" si="9"/>
        <v>204.33459999999999</v>
      </c>
      <c r="E84" s="74">
        <f t="shared" si="10"/>
        <v>23.857519317283973</v>
      </c>
      <c r="F84" s="113">
        <f t="shared" si="11"/>
        <v>6.2703872499918809</v>
      </c>
      <c r="G84" s="115">
        <f t="shared" si="12"/>
        <v>1.8599355054110589E-2</v>
      </c>
      <c r="H84" s="114">
        <f t="shared" si="13"/>
        <v>3219.61</v>
      </c>
      <c r="K84" s="117">
        <v>34241</v>
      </c>
      <c r="L84">
        <v>21.8062</v>
      </c>
      <c r="M84">
        <v>3266088</v>
      </c>
      <c r="N84">
        <v>222298.1</v>
      </c>
      <c r="O84">
        <v>3515.99</v>
      </c>
    </row>
    <row r="85" spans="1:15">
      <c r="A85" s="101">
        <v>34241</v>
      </c>
      <c r="B85" s="113">
        <f t="shared" si="7"/>
        <v>21.8062</v>
      </c>
      <c r="C85" s="113">
        <f t="shared" si="8"/>
        <v>3266.0880000000002</v>
      </c>
      <c r="D85" s="74">
        <f t="shared" si="9"/>
        <v>222.29810000000001</v>
      </c>
      <c r="E85" s="74">
        <f t="shared" si="10"/>
        <v>26.053714376703162</v>
      </c>
      <c r="F85" s="113">
        <f t="shared" si="11"/>
        <v>0</v>
      </c>
      <c r="G85" s="115">
        <f t="shared" si="12"/>
        <v>-2.0912338295175914E-4</v>
      </c>
      <c r="H85" s="114">
        <f t="shared" si="13"/>
        <v>3515.99</v>
      </c>
      <c r="K85" s="117">
        <v>34272</v>
      </c>
      <c r="L85">
        <v>20.704799999999999</v>
      </c>
      <c r="M85">
        <v>3272724</v>
      </c>
      <c r="N85">
        <v>211499.8</v>
      </c>
      <c r="O85">
        <v>3338.41</v>
      </c>
    </row>
    <row r="86" spans="1:15">
      <c r="A86" s="101">
        <v>34272</v>
      </c>
      <c r="B86" s="113">
        <f t="shared" si="7"/>
        <v>20.704799999999999</v>
      </c>
      <c r="C86" s="113">
        <f t="shared" si="8"/>
        <v>3272.7240000000002</v>
      </c>
      <c r="D86" s="74">
        <f t="shared" si="9"/>
        <v>211.49979999999999</v>
      </c>
      <c r="E86" s="74">
        <f t="shared" si="10"/>
        <v>24.73783503716723</v>
      </c>
      <c r="F86" s="113">
        <f t="shared" si="11"/>
        <v>-141.0514979999993</v>
      </c>
      <c r="G86" s="115">
        <f t="shared" si="12"/>
        <v>-0.42965935743045769</v>
      </c>
      <c r="H86" s="114">
        <f t="shared" si="13"/>
        <v>3338.41</v>
      </c>
      <c r="K86" s="117">
        <v>34300</v>
      </c>
      <c r="L86">
        <v>23.668399999999998</v>
      </c>
      <c r="M86">
        <v>3272724</v>
      </c>
      <c r="N86">
        <v>241772.5</v>
      </c>
      <c r="O86">
        <v>3816.25</v>
      </c>
    </row>
    <row r="87" spans="1:15">
      <c r="A87" s="101">
        <v>34300</v>
      </c>
      <c r="B87" s="113">
        <f t="shared" si="7"/>
        <v>23.668399999999998</v>
      </c>
      <c r="C87" s="113">
        <f t="shared" si="8"/>
        <v>3272.7240000000002</v>
      </c>
      <c r="D87" s="74">
        <f t="shared" si="9"/>
        <v>241.77250000000001</v>
      </c>
      <c r="E87" s="74">
        <f t="shared" si="10"/>
        <v>28.278660488253227</v>
      </c>
      <c r="F87" s="113">
        <f t="shared" si="11"/>
        <v>0</v>
      </c>
      <c r="G87" s="115">
        <f t="shared" si="12"/>
        <v>5.1236041880997618E-4</v>
      </c>
      <c r="H87" s="114">
        <f t="shared" si="13"/>
        <v>3816.25</v>
      </c>
      <c r="K87" s="117">
        <v>34333</v>
      </c>
      <c r="L87">
        <v>23.508199999999999</v>
      </c>
      <c r="M87">
        <v>3272724</v>
      </c>
      <c r="N87">
        <v>240136.1</v>
      </c>
      <c r="O87">
        <v>3806.12</v>
      </c>
    </row>
    <row r="88" spans="1:15">
      <c r="A88" s="101">
        <v>34333</v>
      </c>
      <c r="B88" s="113">
        <f t="shared" si="7"/>
        <v>23.508199999999999</v>
      </c>
      <c r="C88" s="113">
        <f t="shared" si="8"/>
        <v>3272.7240000000002</v>
      </c>
      <c r="D88" s="74">
        <f t="shared" si="9"/>
        <v>240.1361</v>
      </c>
      <c r="E88" s="74">
        <f t="shared" si="10"/>
        <v>28.20359652998372</v>
      </c>
      <c r="F88" s="113">
        <f t="shared" si="11"/>
        <v>0</v>
      </c>
      <c r="G88" s="115">
        <f t="shared" si="12"/>
        <v>-4.1605685195511555E-5</v>
      </c>
      <c r="H88" s="114">
        <f t="shared" si="13"/>
        <v>3806.12</v>
      </c>
      <c r="K88" s="117">
        <v>34363</v>
      </c>
      <c r="L88">
        <v>24.829799999999999</v>
      </c>
      <c r="M88">
        <v>3272724</v>
      </c>
      <c r="N88">
        <v>253636.1</v>
      </c>
      <c r="O88">
        <v>4020.09</v>
      </c>
    </row>
    <row r="89" spans="1:15">
      <c r="A89" s="101">
        <v>34363</v>
      </c>
      <c r="B89" s="113">
        <f t="shared" si="7"/>
        <v>24.829799999999999</v>
      </c>
      <c r="C89" s="113">
        <f t="shared" si="8"/>
        <v>3272.7240000000002</v>
      </c>
      <c r="D89" s="74">
        <f t="shared" si="9"/>
        <v>253.6361</v>
      </c>
      <c r="E89" s="74">
        <f t="shared" si="10"/>
        <v>29.789128134221272</v>
      </c>
      <c r="F89" s="113">
        <f t="shared" si="11"/>
        <v>0</v>
      </c>
      <c r="G89" s="115">
        <f t="shared" si="12"/>
        <v>1.3483635494893065E-4</v>
      </c>
      <c r="H89" s="114">
        <f t="shared" si="13"/>
        <v>4020.09</v>
      </c>
      <c r="K89" s="117">
        <v>34391</v>
      </c>
      <c r="L89">
        <v>24.9099</v>
      </c>
      <c r="M89">
        <v>3272724</v>
      </c>
      <c r="N89">
        <v>254454.3</v>
      </c>
      <c r="O89">
        <v>4033.06</v>
      </c>
    </row>
    <row r="90" spans="1:15">
      <c r="A90" s="101">
        <v>34391</v>
      </c>
      <c r="B90" s="113">
        <f t="shared" si="7"/>
        <v>24.9099</v>
      </c>
      <c r="C90" s="113">
        <f t="shared" si="8"/>
        <v>3272.7240000000002</v>
      </c>
      <c r="D90" s="74">
        <f t="shared" si="9"/>
        <v>254.45429999999999</v>
      </c>
      <c r="E90" s="74">
        <f t="shared" si="10"/>
        <v>29.885236677040179</v>
      </c>
      <c r="F90" s="113">
        <f t="shared" si="11"/>
        <v>0</v>
      </c>
      <c r="G90" s="115">
        <f t="shared" si="12"/>
        <v>2.0509629583664868E-5</v>
      </c>
      <c r="H90" s="114">
        <f t="shared" si="13"/>
        <v>4033.06</v>
      </c>
      <c r="K90" s="117">
        <v>34423</v>
      </c>
      <c r="L90">
        <v>27.613099999999999</v>
      </c>
      <c r="M90">
        <v>3272724</v>
      </c>
      <c r="N90">
        <v>282067.90000000002</v>
      </c>
      <c r="O90">
        <v>4488.29</v>
      </c>
    </row>
    <row r="91" spans="1:15">
      <c r="A91" s="101">
        <v>34423</v>
      </c>
      <c r="B91" s="113">
        <f t="shared" si="7"/>
        <v>27.613099999999999</v>
      </c>
      <c r="C91" s="113">
        <f t="shared" si="8"/>
        <v>3272.7240000000002</v>
      </c>
      <c r="D91" s="74">
        <f t="shared" si="9"/>
        <v>282.06790000000001</v>
      </c>
      <c r="E91" s="74">
        <f t="shared" si="10"/>
        <v>33.258520558879034</v>
      </c>
      <c r="F91" s="113">
        <f t="shared" si="11"/>
        <v>0</v>
      </c>
      <c r="G91" s="115">
        <f t="shared" si="12"/>
        <v>-4.4764852534129318E-4</v>
      </c>
      <c r="H91" s="114">
        <f t="shared" si="13"/>
        <v>4488.29</v>
      </c>
      <c r="K91" s="117">
        <v>34453</v>
      </c>
      <c r="L91">
        <v>27.2928</v>
      </c>
      <c r="M91">
        <v>3260408</v>
      </c>
      <c r="N91">
        <v>277746</v>
      </c>
      <c r="O91">
        <v>4436.21</v>
      </c>
    </row>
    <row r="92" spans="1:15">
      <c r="A92" s="101">
        <v>34453</v>
      </c>
      <c r="B92" s="113">
        <f t="shared" si="7"/>
        <v>27.2928</v>
      </c>
      <c r="C92" s="113">
        <f t="shared" si="8"/>
        <v>3260.4079999999999</v>
      </c>
      <c r="D92" s="74">
        <f t="shared" si="9"/>
        <v>277.74599999999998</v>
      </c>
      <c r="E92" s="74">
        <f t="shared" si="10"/>
        <v>32.872604374606979</v>
      </c>
      <c r="F92" s="113">
        <f t="shared" si="11"/>
        <v>338.11053220000713</v>
      </c>
      <c r="G92" s="115">
        <f t="shared" si="12"/>
        <v>1.0500345314362014</v>
      </c>
      <c r="H92" s="114">
        <f t="shared" si="13"/>
        <v>4436.21</v>
      </c>
      <c r="K92" s="117">
        <v>34482</v>
      </c>
      <c r="L92">
        <v>26.7121</v>
      </c>
      <c r="M92">
        <v>3258019</v>
      </c>
      <c r="N92">
        <v>271637.40000000002</v>
      </c>
      <c r="O92">
        <v>4341.83</v>
      </c>
    </row>
    <row r="93" spans="1:15">
      <c r="A93" s="101">
        <v>34482</v>
      </c>
      <c r="B93" s="113">
        <f t="shared" si="7"/>
        <v>26.7121</v>
      </c>
      <c r="C93" s="113">
        <f t="shared" si="8"/>
        <v>3258.0189999999998</v>
      </c>
      <c r="D93" s="74">
        <f t="shared" si="9"/>
        <v>271.63740000000001</v>
      </c>
      <c r="E93" s="74">
        <f t="shared" si="10"/>
        <v>32.173242441588613</v>
      </c>
      <c r="F93" s="113">
        <f t="shared" si="11"/>
        <v>64.508853050003339</v>
      </c>
      <c r="G93" s="115">
        <f t="shared" si="12"/>
        <v>0.19908898610620351</v>
      </c>
      <c r="H93" s="114">
        <f t="shared" si="13"/>
        <v>4341.83</v>
      </c>
      <c r="K93" s="117">
        <v>34514</v>
      </c>
      <c r="L93">
        <v>29.114899999999999</v>
      </c>
      <c r="M93">
        <v>3258019</v>
      </c>
      <c r="N93">
        <v>296072.5</v>
      </c>
      <c r="O93">
        <v>4732.3999999999996</v>
      </c>
    </row>
    <row r="94" spans="1:15">
      <c r="A94" s="101">
        <v>34514</v>
      </c>
      <c r="B94" s="113">
        <f t="shared" si="7"/>
        <v>29.114899999999999</v>
      </c>
      <c r="C94" s="113">
        <f t="shared" si="8"/>
        <v>3258.0189999999998</v>
      </c>
      <c r="D94" s="74">
        <f t="shared" si="9"/>
        <v>296.07249999999999</v>
      </c>
      <c r="E94" s="74">
        <f t="shared" si="10"/>
        <v>35.067391521679554</v>
      </c>
      <c r="F94" s="113">
        <f t="shared" si="11"/>
        <v>0</v>
      </c>
      <c r="G94" s="115">
        <f t="shared" si="12"/>
        <v>-8.4194016943683891E-4</v>
      </c>
      <c r="H94" s="114">
        <f t="shared" si="13"/>
        <v>4732.3999999999996</v>
      </c>
      <c r="K94" s="117">
        <v>34545</v>
      </c>
      <c r="L94">
        <v>28.654399999999999</v>
      </c>
      <c r="M94">
        <v>3258019</v>
      </c>
      <c r="N94">
        <v>291389.09999999998</v>
      </c>
      <c r="O94">
        <v>4672.75</v>
      </c>
    </row>
    <row r="95" spans="1:15">
      <c r="A95" s="101">
        <v>34545</v>
      </c>
      <c r="B95" s="113">
        <f t="shared" si="7"/>
        <v>28.654399999999999</v>
      </c>
      <c r="C95" s="113">
        <f t="shared" si="8"/>
        <v>3258.0189999999998</v>
      </c>
      <c r="D95" s="74">
        <f t="shared" si="9"/>
        <v>291.38909999999998</v>
      </c>
      <c r="E95" s="74">
        <f t="shared" si="10"/>
        <v>34.625381145492383</v>
      </c>
      <c r="F95" s="113">
        <f t="shared" si="11"/>
        <v>0</v>
      </c>
      <c r="G95" s="115">
        <f t="shared" si="12"/>
        <v>5.2675468575547058E-4</v>
      </c>
      <c r="H95" s="114">
        <f t="shared" si="13"/>
        <v>4672.75</v>
      </c>
      <c r="K95" s="117">
        <v>34576</v>
      </c>
      <c r="L95">
        <v>25.630800000000001</v>
      </c>
      <c r="M95">
        <v>3253683</v>
      </c>
      <c r="N95">
        <v>260294.6</v>
      </c>
      <c r="O95">
        <v>4179.68</v>
      </c>
    </row>
    <row r="96" spans="1:15">
      <c r="A96" s="101">
        <v>34576</v>
      </c>
      <c r="B96" s="113">
        <f t="shared" si="7"/>
        <v>25.630800000000001</v>
      </c>
      <c r="C96" s="113">
        <f t="shared" si="8"/>
        <v>3253.683</v>
      </c>
      <c r="D96" s="74">
        <f t="shared" si="9"/>
        <v>260.2946</v>
      </c>
      <c r="E96" s="74">
        <f t="shared" si="10"/>
        <v>30.971700404727756</v>
      </c>
      <c r="F96" s="113">
        <f t="shared" si="11"/>
        <v>117.69031359999418</v>
      </c>
      <c r="G96" s="115">
        <f t="shared" si="12"/>
        <v>0.34724712574682215</v>
      </c>
      <c r="H96" s="114">
        <f t="shared" si="13"/>
        <v>4179.68</v>
      </c>
      <c r="K96" s="117">
        <v>34606</v>
      </c>
      <c r="L96">
        <v>25.490600000000001</v>
      </c>
      <c r="M96">
        <v>3253683</v>
      </c>
      <c r="N96">
        <v>258871.1</v>
      </c>
      <c r="O96">
        <v>4171.74</v>
      </c>
    </row>
    <row r="97" spans="1:15">
      <c r="A97" s="101">
        <v>34606</v>
      </c>
      <c r="B97" s="113">
        <f t="shared" si="7"/>
        <v>25.490600000000001</v>
      </c>
      <c r="C97" s="113">
        <f t="shared" si="8"/>
        <v>3253.683</v>
      </c>
      <c r="D97" s="74">
        <f t="shared" si="9"/>
        <v>258.87110000000001</v>
      </c>
      <c r="E97" s="74">
        <f t="shared" si="10"/>
        <v>30.912864488769223</v>
      </c>
      <c r="F97" s="113">
        <f t="shared" si="11"/>
        <v>0</v>
      </c>
      <c r="G97" s="115">
        <f t="shared" si="12"/>
        <v>-3.0662796322866726E-4</v>
      </c>
      <c r="H97" s="114">
        <f t="shared" si="13"/>
        <v>4171.74</v>
      </c>
      <c r="K97" s="117">
        <v>34636</v>
      </c>
      <c r="L97">
        <v>28.0336</v>
      </c>
      <c r="M97">
        <v>3253683</v>
      </c>
      <c r="N97">
        <v>284697.3</v>
      </c>
      <c r="O97">
        <v>4587.93</v>
      </c>
    </row>
    <row r="98" spans="1:15">
      <c r="A98" s="101">
        <v>34636</v>
      </c>
      <c r="B98" s="113">
        <f t="shared" si="7"/>
        <v>28.0336</v>
      </c>
      <c r="C98" s="113">
        <f t="shared" si="8"/>
        <v>3253.683</v>
      </c>
      <c r="D98" s="74">
        <f t="shared" si="9"/>
        <v>284.69729999999998</v>
      </c>
      <c r="E98" s="74">
        <f t="shared" si="10"/>
        <v>33.996859433703676</v>
      </c>
      <c r="F98" s="113">
        <f t="shared" si="11"/>
        <v>0</v>
      </c>
      <c r="G98" s="115">
        <f t="shared" si="12"/>
        <v>-6.3264183658162665E-4</v>
      </c>
      <c r="H98" s="114">
        <f t="shared" si="13"/>
        <v>4587.93</v>
      </c>
      <c r="K98" s="117">
        <v>34667</v>
      </c>
      <c r="L98">
        <v>28.954799999999999</v>
      </c>
      <c r="M98">
        <v>3276833</v>
      </c>
      <c r="N98">
        <v>296143.8</v>
      </c>
      <c r="O98">
        <v>4738.68</v>
      </c>
    </row>
    <row r="99" spans="1:15">
      <c r="A99" s="101">
        <v>34667</v>
      </c>
      <c r="B99" s="113">
        <f t="shared" si="7"/>
        <v>28.954799999999999</v>
      </c>
      <c r="C99" s="113">
        <f t="shared" si="8"/>
        <v>3276.8330000000001</v>
      </c>
      <c r="D99" s="74">
        <f t="shared" si="9"/>
        <v>296.1438</v>
      </c>
      <c r="E99" s="74">
        <f t="shared" si="10"/>
        <v>35.113926729767655</v>
      </c>
      <c r="F99" s="113">
        <f t="shared" si="11"/>
        <v>-659.64073000000258</v>
      </c>
      <c r="G99" s="115">
        <f t="shared" si="12"/>
        <v>-2.0911852077507458</v>
      </c>
      <c r="H99" s="114">
        <f t="shared" si="13"/>
        <v>4738.68</v>
      </c>
      <c r="K99" s="117">
        <v>34698</v>
      </c>
      <c r="L99">
        <v>32.679200000000002</v>
      </c>
      <c r="M99">
        <v>3276833</v>
      </c>
      <c r="N99">
        <v>334236.90000000002</v>
      </c>
      <c r="O99">
        <v>5366.35</v>
      </c>
    </row>
    <row r="100" spans="1:15">
      <c r="A100" s="101">
        <v>34698</v>
      </c>
      <c r="B100" s="113">
        <f t="shared" si="7"/>
        <v>32.679200000000002</v>
      </c>
      <c r="C100" s="113">
        <f t="shared" si="8"/>
        <v>3276.8330000000001</v>
      </c>
      <c r="D100" s="74">
        <f t="shared" si="9"/>
        <v>334.23690000000005</v>
      </c>
      <c r="E100" s="74">
        <f t="shared" si="10"/>
        <v>39.765002217134025</v>
      </c>
      <c r="F100" s="113">
        <f t="shared" si="11"/>
        <v>0</v>
      </c>
      <c r="G100" s="115">
        <f t="shared" si="12"/>
        <v>-6.9498528741718246E-4</v>
      </c>
      <c r="H100" s="114">
        <f t="shared" si="13"/>
        <v>5366.35</v>
      </c>
      <c r="K100" s="117">
        <v>34727</v>
      </c>
      <c r="L100">
        <v>33.600299999999997</v>
      </c>
      <c r="M100">
        <v>3276833</v>
      </c>
      <c r="N100">
        <v>343657.9</v>
      </c>
      <c r="O100">
        <v>5517.61</v>
      </c>
    </row>
    <row r="101" spans="1:15">
      <c r="A101" s="101">
        <v>34727</v>
      </c>
      <c r="B101" s="113">
        <f t="shared" si="7"/>
        <v>33.600299999999997</v>
      </c>
      <c r="C101" s="113">
        <f t="shared" si="8"/>
        <v>3276.8330000000001</v>
      </c>
      <c r="D101" s="74">
        <f t="shared" si="9"/>
        <v>343.65790000000004</v>
      </c>
      <c r="E101" s="74">
        <f t="shared" si="10"/>
        <v>40.885848646338914</v>
      </c>
      <c r="F101" s="113">
        <f t="shared" si="11"/>
        <v>0</v>
      </c>
      <c r="G101" s="115">
        <f t="shared" si="12"/>
        <v>-1.5712165537529188E-4</v>
      </c>
      <c r="H101" s="114">
        <f t="shared" si="13"/>
        <v>5517.61</v>
      </c>
      <c r="K101" s="117">
        <v>34755</v>
      </c>
      <c r="L101">
        <v>32.138599999999997</v>
      </c>
      <c r="M101">
        <v>3276833</v>
      </c>
      <c r="N101">
        <v>328707.3</v>
      </c>
      <c r="O101">
        <v>5277.57</v>
      </c>
    </row>
    <row r="102" spans="1:15">
      <c r="A102" s="101">
        <v>34755</v>
      </c>
      <c r="B102" s="113">
        <f t="shared" si="7"/>
        <v>32.138599999999997</v>
      </c>
      <c r="C102" s="113">
        <f t="shared" si="8"/>
        <v>3276.8330000000001</v>
      </c>
      <c r="D102" s="74">
        <f t="shared" si="9"/>
        <v>328.70729999999998</v>
      </c>
      <c r="E102" s="74">
        <f t="shared" si="10"/>
        <v>39.107136648015874</v>
      </c>
      <c r="F102" s="113">
        <f t="shared" si="11"/>
        <v>0</v>
      </c>
      <c r="G102" s="115">
        <f t="shared" si="12"/>
        <v>5.9204084491248921E-4</v>
      </c>
      <c r="H102" s="114">
        <f t="shared" si="13"/>
        <v>5277.57</v>
      </c>
      <c r="K102" s="117">
        <v>34788</v>
      </c>
      <c r="L102">
        <v>35.442599999999999</v>
      </c>
      <c r="M102">
        <v>3275233</v>
      </c>
      <c r="N102">
        <v>362322.6</v>
      </c>
      <c r="O102">
        <v>5840.39</v>
      </c>
    </row>
    <row r="103" spans="1:15">
      <c r="A103" s="101">
        <v>34788</v>
      </c>
      <c r="B103" s="113">
        <f t="shared" si="7"/>
        <v>35.442599999999999</v>
      </c>
      <c r="C103" s="113">
        <f t="shared" si="8"/>
        <v>3275.2330000000002</v>
      </c>
      <c r="D103" s="74">
        <f t="shared" si="9"/>
        <v>362.32259999999997</v>
      </c>
      <c r="E103" s="74">
        <f t="shared" si="10"/>
        <v>43.277669421287726</v>
      </c>
      <c r="F103" s="113">
        <f t="shared" si="11"/>
        <v>54.064959999996923</v>
      </c>
      <c r="G103" s="115">
        <f t="shared" si="12"/>
        <v>0.17736424797596584</v>
      </c>
      <c r="H103" s="114">
        <f t="shared" si="13"/>
        <v>5840.39</v>
      </c>
      <c r="K103" s="117">
        <v>34818</v>
      </c>
      <c r="L103">
        <v>33.7605</v>
      </c>
      <c r="M103">
        <v>3275233</v>
      </c>
      <c r="N103">
        <v>345127.7</v>
      </c>
      <c r="O103">
        <v>5563.22</v>
      </c>
    </row>
    <row r="104" spans="1:15">
      <c r="A104" s="101">
        <v>34818</v>
      </c>
      <c r="B104" s="113">
        <f t="shared" si="7"/>
        <v>33.7605</v>
      </c>
      <c r="C104" s="113">
        <f t="shared" si="8"/>
        <v>3275.2330000000002</v>
      </c>
      <c r="D104" s="74">
        <f t="shared" si="9"/>
        <v>345.1277</v>
      </c>
      <c r="E104" s="74">
        <f t="shared" si="10"/>
        <v>41.223821710176253</v>
      </c>
      <c r="F104" s="113">
        <f t="shared" si="11"/>
        <v>0</v>
      </c>
      <c r="G104" s="115">
        <f t="shared" si="12"/>
        <v>-8.7134465305283015E-4</v>
      </c>
      <c r="H104" s="114">
        <f t="shared" si="13"/>
        <v>5563.22</v>
      </c>
      <c r="K104" s="117">
        <v>34849</v>
      </c>
      <c r="L104">
        <v>32.579099999999997</v>
      </c>
      <c r="M104">
        <v>3271877</v>
      </c>
      <c r="N104">
        <v>332708.90000000002</v>
      </c>
      <c r="O104">
        <v>5368.54</v>
      </c>
    </row>
    <row r="105" spans="1:15">
      <c r="A105" s="101">
        <v>34849</v>
      </c>
      <c r="B105" s="113">
        <f t="shared" si="7"/>
        <v>32.579099999999997</v>
      </c>
      <c r="C105" s="113">
        <f t="shared" si="8"/>
        <v>3271.877</v>
      </c>
      <c r="D105" s="74">
        <f t="shared" si="9"/>
        <v>332.70890000000003</v>
      </c>
      <c r="E105" s="74">
        <f t="shared" si="10"/>
        <v>39.781230259444996</v>
      </c>
      <c r="F105" s="113">
        <f t="shared" si="11"/>
        <v>111.31784880000734</v>
      </c>
      <c r="G105" s="115">
        <f t="shared" si="12"/>
        <v>0.34155396454431752</v>
      </c>
      <c r="H105" s="114">
        <f t="shared" si="13"/>
        <v>5368.54</v>
      </c>
      <c r="K105" s="117">
        <v>34879</v>
      </c>
      <c r="L105">
        <v>36.203499999999998</v>
      </c>
      <c r="M105">
        <v>3271877</v>
      </c>
      <c r="N105">
        <v>369722.1</v>
      </c>
      <c r="O105">
        <v>5965.78</v>
      </c>
    </row>
    <row r="106" spans="1:15">
      <c r="A106" s="101">
        <v>34879</v>
      </c>
      <c r="B106" s="113">
        <f t="shared" si="7"/>
        <v>36.203499999999998</v>
      </c>
      <c r="C106" s="113">
        <f t="shared" si="8"/>
        <v>3271.877</v>
      </c>
      <c r="D106" s="74">
        <f t="shared" si="9"/>
        <v>369.72209999999995</v>
      </c>
      <c r="E106" s="74">
        <f t="shared" si="10"/>
        <v>44.206817469403553</v>
      </c>
      <c r="F106" s="113">
        <f t="shared" si="11"/>
        <v>0</v>
      </c>
      <c r="G106" s="115">
        <f t="shared" si="12"/>
        <v>4.1109300146757732E-4</v>
      </c>
      <c r="H106" s="114">
        <f t="shared" si="13"/>
        <v>5965.78</v>
      </c>
      <c r="K106" s="117">
        <v>34909</v>
      </c>
      <c r="L106">
        <v>34.921900000000001</v>
      </c>
      <c r="M106">
        <v>3271877</v>
      </c>
      <c r="N106">
        <v>356634.6</v>
      </c>
      <c r="O106">
        <v>5772.28</v>
      </c>
    </row>
    <row r="107" spans="1:15">
      <c r="A107" s="101">
        <v>34909</v>
      </c>
      <c r="B107" s="113">
        <f t="shared" si="7"/>
        <v>34.921900000000001</v>
      </c>
      <c r="C107" s="113">
        <f t="shared" si="8"/>
        <v>3271.877</v>
      </c>
      <c r="D107" s="74">
        <f t="shared" si="9"/>
        <v>356.63459999999998</v>
      </c>
      <c r="E107" s="74">
        <f t="shared" si="10"/>
        <v>42.772969895351281</v>
      </c>
      <c r="F107" s="113">
        <f t="shared" si="11"/>
        <v>0</v>
      </c>
      <c r="G107" s="115">
        <f t="shared" si="12"/>
        <v>-6.2251191184437005E-4</v>
      </c>
      <c r="H107" s="114">
        <f t="shared" si="13"/>
        <v>5772.28</v>
      </c>
      <c r="K107" s="117">
        <v>34941</v>
      </c>
      <c r="L107">
        <v>35.983199999999997</v>
      </c>
      <c r="M107">
        <v>3271877</v>
      </c>
      <c r="N107">
        <v>367472.6</v>
      </c>
      <c r="O107">
        <v>5947.7</v>
      </c>
    </row>
    <row r="108" spans="1:15">
      <c r="A108" s="101">
        <v>34941</v>
      </c>
      <c r="B108" s="113">
        <f t="shared" si="7"/>
        <v>35.983199999999997</v>
      </c>
      <c r="C108" s="113">
        <f t="shared" si="8"/>
        <v>3271.877</v>
      </c>
      <c r="D108" s="74">
        <f t="shared" si="9"/>
        <v>367.4726</v>
      </c>
      <c r="E108" s="74">
        <f t="shared" si="10"/>
        <v>44.072843494525699</v>
      </c>
      <c r="F108" s="113">
        <f t="shared" si="11"/>
        <v>0</v>
      </c>
      <c r="G108" s="115">
        <f t="shared" si="12"/>
        <v>3.650654745701587E-4</v>
      </c>
      <c r="H108" s="114">
        <f t="shared" si="13"/>
        <v>5947.7</v>
      </c>
      <c r="K108" s="117">
        <v>34971</v>
      </c>
      <c r="L108">
        <v>37.985599999999998</v>
      </c>
      <c r="M108">
        <v>3271877</v>
      </c>
      <c r="N108">
        <v>387921.9</v>
      </c>
      <c r="O108">
        <v>6297.24</v>
      </c>
    </row>
    <row r="109" spans="1:15">
      <c r="A109" s="101">
        <v>34971</v>
      </c>
      <c r="B109" s="113">
        <f t="shared" si="7"/>
        <v>37.985599999999998</v>
      </c>
      <c r="C109" s="113">
        <f t="shared" si="8"/>
        <v>3271.877</v>
      </c>
      <c r="D109" s="74">
        <f t="shared" si="9"/>
        <v>387.92190000000005</v>
      </c>
      <c r="E109" s="74">
        <f t="shared" si="10"/>
        <v>46.662957608397704</v>
      </c>
      <c r="F109" s="113">
        <f t="shared" si="11"/>
        <v>0</v>
      </c>
      <c r="G109" s="115">
        <f t="shared" si="12"/>
        <v>-1.1442895576863066E-4</v>
      </c>
      <c r="H109" s="114">
        <f t="shared" si="13"/>
        <v>6297.24</v>
      </c>
      <c r="K109" s="117">
        <v>35000</v>
      </c>
      <c r="L109">
        <v>43.412100000000002</v>
      </c>
      <c r="M109">
        <v>3277649</v>
      </c>
      <c r="N109">
        <v>444121.5</v>
      </c>
      <c r="O109">
        <v>7196.85</v>
      </c>
    </row>
    <row r="110" spans="1:15">
      <c r="A110" s="101">
        <v>35000</v>
      </c>
      <c r="B110" s="113">
        <f t="shared" si="7"/>
        <v>43.412100000000002</v>
      </c>
      <c r="C110" s="113">
        <f t="shared" si="8"/>
        <v>3277.6489999999999</v>
      </c>
      <c r="D110" s="74">
        <f t="shared" si="9"/>
        <v>444.12150000000003</v>
      </c>
      <c r="E110" s="74">
        <f t="shared" si="10"/>
        <v>53.329126167018735</v>
      </c>
      <c r="F110" s="113">
        <f t="shared" si="11"/>
        <v>-234.91376219999734</v>
      </c>
      <c r="G110" s="115">
        <f t="shared" si="12"/>
        <v>-0.78233160487121722</v>
      </c>
      <c r="H110" s="114">
        <f t="shared" si="13"/>
        <v>7196.85</v>
      </c>
      <c r="K110" s="117">
        <v>35032</v>
      </c>
      <c r="L110">
        <v>41.69</v>
      </c>
      <c r="M110">
        <v>3277649</v>
      </c>
      <c r="N110">
        <v>426504.2</v>
      </c>
      <c r="O110">
        <v>6911.36</v>
      </c>
    </row>
    <row r="111" spans="1:15">
      <c r="A111" s="101">
        <v>35032</v>
      </c>
      <c r="B111" s="113">
        <f t="shared" si="7"/>
        <v>41.69</v>
      </c>
      <c r="C111" s="113">
        <f t="shared" si="8"/>
        <v>3277.6489999999999</v>
      </c>
      <c r="D111" s="74">
        <f t="shared" si="9"/>
        <v>426.50420000000003</v>
      </c>
      <c r="E111" s="74">
        <f t="shared" si="10"/>
        <v>51.213626715255508</v>
      </c>
      <c r="F111" s="113">
        <f t="shared" si="11"/>
        <v>0</v>
      </c>
      <c r="G111" s="115">
        <f t="shared" si="12"/>
        <v>-4.0647238905933136E-4</v>
      </c>
      <c r="H111" s="114">
        <f t="shared" si="13"/>
        <v>6911.36</v>
      </c>
      <c r="K111" s="117">
        <v>35063</v>
      </c>
      <c r="L111">
        <v>49.579500000000003</v>
      </c>
      <c r="M111">
        <v>3277649</v>
      </c>
      <c r="N111">
        <v>507216.3</v>
      </c>
      <c r="O111">
        <v>8240.6200000000008</v>
      </c>
    </row>
    <row r="112" spans="1:15">
      <c r="A112" s="101">
        <v>35063</v>
      </c>
      <c r="B112" s="113">
        <f t="shared" si="7"/>
        <v>49.579500000000003</v>
      </c>
      <c r="C112" s="113">
        <f t="shared" si="8"/>
        <v>3277.6489999999999</v>
      </c>
      <c r="D112" s="74">
        <f t="shared" si="9"/>
        <v>507.21629999999999</v>
      </c>
      <c r="E112" s="74">
        <f t="shared" si="10"/>
        <v>61.063529693471168</v>
      </c>
      <c r="F112" s="113">
        <f t="shared" si="11"/>
        <v>0</v>
      </c>
      <c r="G112" s="115">
        <f t="shared" si="12"/>
        <v>4.1825137937223644E-4</v>
      </c>
      <c r="H112" s="114">
        <f t="shared" si="13"/>
        <v>8240.6200000000008</v>
      </c>
      <c r="K112" s="117">
        <v>35094</v>
      </c>
      <c r="L112">
        <v>42.9251</v>
      </c>
      <c r="M112">
        <v>3277649</v>
      </c>
      <c r="N112">
        <v>439139.4</v>
      </c>
      <c r="O112">
        <v>7134.59</v>
      </c>
    </row>
    <row r="113" spans="1:15">
      <c r="A113" s="101">
        <v>35094</v>
      </c>
      <c r="B113" s="113">
        <f t="shared" si="7"/>
        <v>42.9251</v>
      </c>
      <c r="C113" s="113">
        <f t="shared" si="8"/>
        <v>3277.6489999999999</v>
      </c>
      <c r="D113" s="74">
        <f t="shared" si="9"/>
        <v>439.13940000000002</v>
      </c>
      <c r="E113" s="74">
        <f t="shared" si="10"/>
        <v>52.867775521228069</v>
      </c>
      <c r="F113" s="113">
        <f t="shared" si="11"/>
        <v>0</v>
      </c>
      <c r="G113" s="115">
        <f t="shared" si="12"/>
        <v>-2.9914985077539313E-5</v>
      </c>
      <c r="H113" s="114">
        <f t="shared" si="13"/>
        <v>7134.59</v>
      </c>
      <c r="K113" s="117">
        <v>35123</v>
      </c>
      <c r="L113">
        <v>42.410899999999998</v>
      </c>
      <c r="M113">
        <v>3277649</v>
      </c>
      <c r="N113">
        <v>433878.9</v>
      </c>
      <c r="O113">
        <v>7049.13</v>
      </c>
    </row>
    <row r="114" spans="1:15">
      <c r="A114" s="101">
        <v>35123</v>
      </c>
      <c r="B114" s="113">
        <f t="shared" si="7"/>
        <v>42.410899999999998</v>
      </c>
      <c r="C114" s="113">
        <f t="shared" si="8"/>
        <v>3277.6489999999999</v>
      </c>
      <c r="D114" s="74">
        <f t="shared" si="9"/>
        <v>433.87890000000004</v>
      </c>
      <c r="E114" s="74">
        <f t="shared" si="10"/>
        <v>52.234511367850764</v>
      </c>
      <c r="F114" s="113">
        <f t="shared" si="11"/>
        <v>0</v>
      </c>
      <c r="G114" s="115">
        <f t="shared" si="12"/>
        <v>4.6804084277596303E-5</v>
      </c>
      <c r="H114" s="114">
        <f t="shared" si="13"/>
        <v>7049.13</v>
      </c>
      <c r="K114" s="117">
        <v>35154</v>
      </c>
      <c r="L114">
        <v>49.859900000000003</v>
      </c>
      <c r="M114">
        <v>3295311</v>
      </c>
      <c r="N114">
        <v>512832.8</v>
      </c>
      <c r="O114">
        <v>8311.94</v>
      </c>
    </row>
    <row r="115" spans="1:15">
      <c r="A115" s="101">
        <v>35154</v>
      </c>
      <c r="B115" s="113">
        <f t="shared" si="7"/>
        <v>49.859900000000003</v>
      </c>
      <c r="C115" s="113">
        <f t="shared" si="8"/>
        <v>3295.3110000000001</v>
      </c>
      <c r="D115" s="74">
        <f t="shared" si="9"/>
        <v>512.83280000000002</v>
      </c>
      <c r="E115" s="74">
        <f t="shared" si="10"/>
        <v>61.59201552800041</v>
      </c>
      <c r="F115" s="113">
        <f t="shared" si="11"/>
        <v>-814.84343480001212</v>
      </c>
      <c r="G115" s="115">
        <f t="shared" si="12"/>
        <v>-2.7479263918001067</v>
      </c>
      <c r="H115" s="114">
        <f t="shared" si="13"/>
        <v>8311.94</v>
      </c>
      <c r="K115" s="117">
        <v>35182</v>
      </c>
      <c r="L115">
        <v>50.380499999999998</v>
      </c>
      <c r="M115">
        <v>3295311</v>
      </c>
      <c r="N115">
        <v>518187.7</v>
      </c>
      <c r="O115">
        <v>8398.73</v>
      </c>
    </row>
    <row r="116" spans="1:15">
      <c r="A116" s="101">
        <v>35182</v>
      </c>
      <c r="B116" s="113">
        <f t="shared" si="7"/>
        <v>50.380499999999998</v>
      </c>
      <c r="C116" s="113">
        <f t="shared" si="8"/>
        <v>3295.3110000000001</v>
      </c>
      <c r="D116" s="74">
        <f t="shared" si="9"/>
        <v>518.18770000000006</v>
      </c>
      <c r="E116" s="74">
        <f t="shared" si="10"/>
        <v>62.235135067804002</v>
      </c>
      <c r="F116" s="113">
        <f t="shared" si="11"/>
        <v>0</v>
      </c>
      <c r="G116" s="115">
        <f t="shared" si="12"/>
        <v>-2.812446475957131E-4</v>
      </c>
      <c r="H116" s="114">
        <f t="shared" si="13"/>
        <v>8398.73</v>
      </c>
      <c r="K116" s="117">
        <v>35215</v>
      </c>
      <c r="L116">
        <v>50.581000000000003</v>
      </c>
      <c r="M116">
        <v>9886922</v>
      </c>
      <c r="N116">
        <v>520249.8</v>
      </c>
      <c r="O116">
        <v>8432.15</v>
      </c>
    </row>
    <row r="117" spans="1:15">
      <c r="A117" s="101">
        <v>35215</v>
      </c>
      <c r="B117" s="113">
        <f t="shared" si="7"/>
        <v>50.581000000000003</v>
      </c>
      <c r="C117" s="113">
        <f t="shared" si="8"/>
        <v>9886.9220000000005</v>
      </c>
      <c r="D117" s="74">
        <f t="shared" si="9"/>
        <v>520.24979999999994</v>
      </c>
      <c r="E117" s="74">
        <f t="shared" si="10"/>
        <v>62.482779439508541</v>
      </c>
      <c r="F117" s="113">
        <f t="shared" si="11"/>
        <v>-332749.46698825003</v>
      </c>
      <c r="G117" s="115">
        <f t="shared" si="12"/>
        <v>1.3903792160041561E-4</v>
      </c>
      <c r="H117" s="114">
        <f t="shared" si="13"/>
        <v>8432.15</v>
      </c>
      <c r="K117" s="117">
        <v>35245</v>
      </c>
      <c r="L117">
        <v>50.946199999999997</v>
      </c>
      <c r="M117">
        <v>9893424</v>
      </c>
      <c r="N117">
        <v>524351.4</v>
      </c>
      <c r="O117">
        <v>8493.0499999999993</v>
      </c>
    </row>
    <row r="118" spans="1:15">
      <c r="A118" s="101">
        <v>35245</v>
      </c>
      <c r="B118" s="113">
        <f t="shared" si="7"/>
        <v>50.946199999999997</v>
      </c>
      <c r="C118" s="113">
        <f t="shared" si="8"/>
        <v>9893.4240000000009</v>
      </c>
      <c r="D118" s="74">
        <f t="shared" si="9"/>
        <v>524.35140000000001</v>
      </c>
      <c r="E118" s="74">
        <f t="shared" si="10"/>
        <v>62.934052396923448</v>
      </c>
      <c r="F118" s="113">
        <f t="shared" si="11"/>
        <v>-330.06492720002069</v>
      </c>
      <c r="G118" s="115">
        <f t="shared" si="12"/>
        <v>-0.34534316522023234</v>
      </c>
      <c r="H118" s="114">
        <f t="shared" si="13"/>
        <v>8493.0499999999993</v>
      </c>
      <c r="K118" s="117">
        <v>35276</v>
      </c>
      <c r="L118">
        <v>49.677399999999999</v>
      </c>
      <c r="M118">
        <v>9893424</v>
      </c>
      <c r="N118">
        <v>511292.1</v>
      </c>
      <c r="O118">
        <v>8304.25</v>
      </c>
    </row>
    <row r="119" spans="1:15">
      <c r="A119" s="101">
        <v>35276</v>
      </c>
      <c r="B119" s="113">
        <f t="shared" si="7"/>
        <v>49.677399999999999</v>
      </c>
      <c r="C119" s="113">
        <f t="shared" si="8"/>
        <v>9893.4240000000009</v>
      </c>
      <c r="D119" s="74">
        <f t="shared" si="9"/>
        <v>511.2921</v>
      </c>
      <c r="E119" s="74">
        <f t="shared" si="10"/>
        <v>61.535032128287433</v>
      </c>
      <c r="F119" s="113">
        <f t="shared" si="11"/>
        <v>0</v>
      </c>
      <c r="G119" s="115">
        <f t="shared" si="12"/>
        <v>4.8390930042607749E-4</v>
      </c>
      <c r="H119" s="114">
        <f t="shared" si="13"/>
        <v>8304.25</v>
      </c>
      <c r="K119" s="117">
        <v>35307</v>
      </c>
      <c r="L119">
        <v>56.348500000000001</v>
      </c>
      <c r="M119">
        <v>9901575</v>
      </c>
      <c r="N119">
        <v>580430.30000000005</v>
      </c>
      <c r="O119">
        <v>9419.41</v>
      </c>
    </row>
    <row r="120" spans="1:15">
      <c r="A120" s="101">
        <v>35307</v>
      </c>
      <c r="B120" s="113">
        <f t="shared" si="7"/>
        <v>56.348500000000001</v>
      </c>
      <c r="C120" s="113">
        <f t="shared" si="8"/>
        <v>9901.5750000000007</v>
      </c>
      <c r="D120" s="74">
        <f t="shared" si="9"/>
        <v>580.4303000000001</v>
      </c>
      <c r="E120" s="74">
        <f t="shared" si="10"/>
        <v>69.798440193817854</v>
      </c>
      <c r="F120" s="113">
        <f t="shared" si="11"/>
        <v>-432.10855544999157</v>
      </c>
      <c r="G120" s="115">
        <f t="shared" si="12"/>
        <v>-0.47758715975483312</v>
      </c>
      <c r="H120" s="114">
        <f t="shared" si="13"/>
        <v>9419.41</v>
      </c>
      <c r="K120" s="117">
        <v>35336</v>
      </c>
      <c r="L120">
        <v>55.452100000000002</v>
      </c>
      <c r="M120">
        <v>9901575</v>
      </c>
      <c r="N120">
        <v>571197.1</v>
      </c>
      <c r="O120">
        <v>9291.5300000000007</v>
      </c>
    </row>
    <row r="121" spans="1:15">
      <c r="A121" s="101">
        <v>35336</v>
      </c>
      <c r="B121" s="113">
        <f t="shared" si="7"/>
        <v>55.452100000000002</v>
      </c>
      <c r="C121" s="113">
        <f t="shared" si="8"/>
        <v>9901.5750000000007</v>
      </c>
      <c r="D121" s="74">
        <f t="shared" si="9"/>
        <v>571.19709999999998</v>
      </c>
      <c r="E121" s="74">
        <f t="shared" si="10"/>
        <v>68.850841083896384</v>
      </c>
      <c r="F121" s="113">
        <f t="shared" si="11"/>
        <v>0</v>
      </c>
      <c r="G121" s="115">
        <f t="shared" si="12"/>
        <v>-3.6825683011088017E-4</v>
      </c>
      <c r="H121" s="114">
        <f t="shared" si="13"/>
        <v>9291.5300000000007</v>
      </c>
      <c r="K121" s="117">
        <v>35368</v>
      </c>
      <c r="L121">
        <v>52.688499999999998</v>
      </c>
      <c r="M121">
        <v>9908800</v>
      </c>
      <c r="N121">
        <v>543126.1</v>
      </c>
      <c r="O121">
        <v>8828.4599999999991</v>
      </c>
    </row>
    <row r="122" spans="1:15">
      <c r="A122" s="101">
        <v>35368</v>
      </c>
      <c r="B122" s="113">
        <f t="shared" si="7"/>
        <v>52.688499999999998</v>
      </c>
      <c r="C122" s="113">
        <f t="shared" si="8"/>
        <v>9908.7999999999993</v>
      </c>
      <c r="D122" s="74">
        <f t="shared" si="9"/>
        <v>543.12609999999995</v>
      </c>
      <c r="E122" s="74">
        <f t="shared" si="10"/>
        <v>65.419462292597217</v>
      </c>
      <c r="F122" s="113">
        <f t="shared" si="11"/>
        <v>-390.65791749992133</v>
      </c>
      <c r="G122" s="115">
        <f t="shared" si="12"/>
        <v>-0.39609692797929341</v>
      </c>
      <c r="H122" s="114">
        <f t="shared" si="13"/>
        <v>8828.4599999999991</v>
      </c>
      <c r="K122" s="117">
        <v>35398</v>
      </c>
      <c r="L122">
        <v>47.642000000000003</v>
      </c>
      <c r="M122">
        <v>9908800</v>
      </c>
      <c r="N122">
        <v>491104.8</v>
      </c>
      <c r="O122">
        <v>7982.86</v>
      </c>
    </row>
    <row r="123" spans="1:15">
      <c r="A123" s="101">
        <v>35398</v>
      </c>
      <c r="B123" s="113">
        <f t="shared" si="7"/>
        <v>47.642000000000003</v>
      </c>
      <c r="C123" s="113">
        <f t="shared" si="8"/>
        <v>9908.7999999999993</v>
      </c>
      <c r="D123" s="74">
        <f t="shared" si="9"/>
        <v>491.10480000000001</v>
      </c>
      <c r="E123" s="74">
        <f>H123/H122*E122</f>
        <v>59.153511343663858</v>
      </c>
      <c r="F123" s="113">
        <f t="shared" si="11"/>
        <v>0</v>
      </c>
      <c r="G123" s="115">
        <f t="shared" si="12"/>
        <v>7.288383613186511E-4</v>
      </c>
      <c r="H123" s="114">
        <f t="shared" si="13"/>
        <v>7982.86</v>
      </c>
      <c r="K123" s="117">
        <v>35427</v>
      </c>
      <c r="L123">
        <v>46.079900000000002</v>
      </c>
      <c r="M123">
        <v>9908800</v>
      </c>
      <c r="N123">
        <v>475003.1</v>
      </c>
      <c r="O123">
        <v>7746.77</v>
      </c>
    </row>
    <row r="124" spans="1:15">
      <c r="A124" s="101">
        <v>35427</v>
      </c>
      <c r="B124" s="113">
        <f t="shared" si="7"/>
        <v>46.079900000000002</v>
      </c>
      <c r="C124" s="113">
        <f t="shared" si="8"/>
        <v>9908.7999999999993</v>
      </c>
      <c r="D124" s="74">
        <f t="shared" si="9"/>
        <v>475.00309999999996</v>
      </c>
      <c r="E124" s="74">
        <f t="shared" si="10"/>
        <v>57.404069102020443</v>
      </c>
      <c r="F124" s="113">
        <f t="shared" si="11"/>
        <v>0</v>
      </c>
      <c r="G124" s="115">
        <f t="shared" si="12"/>
        <v>-7.8956970733656817E-4</v>
      </c>
      <c r="H124" s="114">
        <f t="shared" si="13"/>
        <v>7746.77</v>
      </c>
      <c r="K124" s="117">
        <v>35460</v>
      </c>
      <c r="L124">
        <v>44.217500000000001</v>
      </c>
      <c r="M124">
        <v>9908800</v>
      </c>
      <c r="N124">
        <v>455804.8</v>
      </c>
      <c r="O124">
        <v>7433.66</v>
      </c>
    </row>
    <row r="125" spans="1:15">
      <c r="A125" s="101">
        <v>35460</v>
      </c>
      <c r="B125" s="113">
        <f t="shared" si="7"/>
        <v>44.217500000000001</v>
      </c>
      <c r="C125" s="113">
        <f t="shared" si="8"/>
        <v>9908.7999999999993</v>
      </c>
      <c r="D125" s="74">
        <f t="shared" si="9"/>
        <v>455.8048</v>
      </c>
      <c r="E125" s="74">
        <f t="shared" si="10"/>
        <v>55.08390365544934</v>
      </c>
      <c r="F125" s="113">
        <f t="shared" si="11"/>
        <v>0</v>
      </c>
      <c r="G125" s="115">
        <f t="shared" si="12"/>
        <v>2.1637915873995439E-4</v>
      </c>
      <c r="H125" s="114">
        <f t="shared" si="13"/>
        <v>7433.66</v>
      </c>
      <c r="K125" s="117">
        <v>35488</v>
      </c>
      <c r="L125">
        <v>44.698099999999997</v>
      </c>
      <c r="M125">
        <v>9908800</v>
      </c>
      <c r="N125">
        <v>460759.1</v>
      </c>
      <c r="O125">
        <v>7514.46</v>
      </c>
    </row>
    <row r="126" spans="1:15">
      <c r="A126" s="101">
        <v>35488</v>
      </c>
      <c r="B126" s="113">
        <f t="shared" si="7"/>
        <v>44.698099999999997</v>
      </c>
      <c r="C126" s="113">
        <f t="shared" si="8"/>
        <v>9908.7999999999993</v>
      </c>
      <c r="D126" s="74">
        <f t="shared" si="9"/>
        <v>460.75909999999999</v>
      </c>
      <c r="E126" s="74">
        <f t="shared" si="10"/>
        <v>55.68263690600967</v>
      </c>
      <c r="F126" s="113">
        <f t="shared" si="11"/>
        <v>0</v>
      </c>
      <c r="G126" s="115">
        <f t="shared" si="12"/>
        <v>-1.5770611191445738E-4</v>
      </c>
      <c r="H126" s="114">
        <f t="shared" si="13"/>
        <v>7514.46</v>
      </c>
      <c r="K126" s="117">
        <v>35518</v>
      </c>
      <c r="L126">
        <v>40.237900000000003</v>
      </c>
      <c r="M126">
        <v>9932928</v>
      </c>
      <c r="N126">
        <v>415792.2</v>
      </c>
      <c r="O126">
        <v>6788.64</v>
      </c>
    </row>
    <row r="127" spans="1:15">
      <c r="A127" s="101">
        <v>35518</v>
      </c>
      <c r="B127" s="113">
        <f t="shared" si="7"/>
        <v>40.237900000000003</v>
      </c>
      <c r="C127" s="113">
        <f t="shared" si="8"/>
        <v>9932.9279999999999</v>
      </c>
      <c r="D127" s="74">
        <f t="shared" si="9"/>
        <v>415.79220000000004</v>
      </c>
      <c r="E127" s="74">
        <f t="shared" si="10"/>
        <v>50.304263540642111</v>
      </c>
      <c r="F127" s="113">
        <f t="shared" si="11"/>
        <v>-1024.6679040000261</v>
      </c>
      <c r="G127" s="115">
        <f t="shared" si="12"/>
        <v>-1.0099477367046816</v>
      </c>
      <c r="H127" s="114">
        <f t="shared" si="13"/>
        <v>6788.64</v>
      </c>
      <c r="K127" s="117">
        <v>35549</v>
      </c>
      <c r="L127">
        <v>46.649500000000003</v>
      </c>
      <c r="M127">
        <v>9937768</v>
      </c>
      <c r="N127">
        <v>482279.8</v>
      </c>
      <c r="O127">
        <v>7870.35</v>
      </c>
    </row>
    <row r="128" spans="1:15">
      <c r="A128" s="101">
        <v>35549</v>
      </c>
      <c r="B128" s="113">
        <f t="shared" si="7"/>
        <v>46.649500000000003</v>
      </c>
      <c r="C128" s="113">
        <f t="shared" si="8"/>
        <v>9937.768</v>
      </c>
      <c r="D128" s="74">
        <f t="shared" si="9"/>
        <v>482.27979999999997</v>
      </c>
      <c r="E128" s="74">
        <f t="shared" si="10"/>
        <v>58.319804932518537</v>
      </c>
      <c r="F128" s="113">
        <f t="shared" si="11"/>
        <v>-210.26750800000636</v>
      </c>
      <c r="G128" s="115">
        <f t="shared" si="12"/>
        <v>-0.23430970602339585</v>
      </c>
      <c r="H128" s="114">
        <f t="shared" si="13"/>
        <v>7870.35</v>
      </c>
      <c r="K128" s="117">
        <v>35580</v>
      </c>
      <c r="L128">
        <v>47.101199999999999</v>
      </c>
      <c r="M128">
        <v>9937768</v>
      </c>
      <c r="N128">
        <v>486950.6</v>
      </c>
      <c r="O128">
        <v>7946.57</v>
      </c>
    </row>
    <row r="129" spans="1:15">
      <c r="A129" s="101">
        <v>35580</v>
      </c>
      <c r="B129" s="113">
        <f t="shared" si="7"/>
        <v>47.101199999999999</v>
      </c>
      <c r="C129" s="113">
        <f t="shared" si="8"/>
        <v>9937.768</v>
      </c>
      <c r="D129" s="74">
        <f t="shared" si="9"/>
        <v>486.95059999999995</v>
      </c>
      <c r="E129" s="74">
        <f t="shared" si="10"/>
        <v>58.88460008546047</v>
      </c>
      <c r="F129" s="113">
        <f t="shared" si="11"/>
        <v>0</v>
      </c>
      <c r="G129" s="115">
        <f t="shared" si="12"/>
        <v>-9.5818690450055755E-4</v>
      </c>
      <c r="H129" s="114">
        <f t="shared" si="13"/>
        <v>7946.57</v>
      </c>
      <c r="K129" s="117">
        <v>35609</v>
      </c>
      <c r="L129">
        <v>47.005099999999999</v>
      </c>
      <c r="M129">
        <v>9937768</v>
      </c>
      <c r="N129">
        <v>485956.8</v>
      </c>
      <c r="O129">
        <v>7930.36</v>
      </c>
    </row>
    <row r="130" spans="1:15">
      <c r="A130" s="101">
        <v>35609</v>
      </c>
      <c r="B130" s="113">
        <f t="shared" si="7"/>
        <v>47.005099999999999</v>
      </c>
      <c r="C130" s="113">
        <f t="shared" si="8"/>
        <v>9937.768</v>
      </c>
      <c r="D130" s="74">
        <f t="shared" si="9"/>
        <v>485.95679999999999</v>
      </c>
      <c r="E130" s="74">
        <f t="shared" si="10"/>
        <v>58.764482932099298</v>
      </c>
      <c r="F130" s="113">
        <f t="shared" si="11"/>
        <v>0</v>
      </c>
      <c r="G130" s="115">
        <f t="shared" si="12"/>
        <v>2.8067013149168929E-4</v>
      </c>
      <c r="H130" s="114">
        <f t="shared" si="13"/>
        <v>7930.36</v>
      </c>
      <c r="K130" s="117">
        <v>35641</v>
      </c>
      <c r="L130">
        <v>41.814399999999999</v>
      </c>
      <c r="M130">
        <v>9934845</v>
      </c>
      <c r="N130">
        <v>432165.8</v>
      </c>
      <c r="O130">
        <v>7077.9</v>
      </c>
    </row>
    <row r="131" spans="1:15">
      <c r="A131" s="101">
        <v>35641</v>
      </c>
      <c r="B131" s="113">
        <f t="shared" si="7"/>
        <v>41.814399999999999</v>
      </c>
      <c r="C131" s="113">
        <f t="shared" si="8"/>
        <v>9934.8449999999993</v>
      </c>
      <c r="D131" s="74">
        <f t="shared" si="9"/>
        <v>432.16579999999999</v>
      </c>
      <c r="E131" s="74">
        <f t="shared" si="10"/>
        <v>52.447698937388161</v>
      </c>
      <c r="F131" s="113">
        <f t="shared" si="11"/>
        <v>129.80969925003038</v>
      </c>
      <c r="G131" s="115">
        <f t="shared" si="12"/>
        <v>0.12754727338099769</v>
      </c>
      <c r="H131" s="114">
        <f t="shared" si="13"/>
        <v>7077.9</v>
      </c>
      <c r="K131" s="117">
        <v>35672</v>
      </c>
      <c r="L131">
        <v>39.392000000000003</v>
      </c>
      <c r="M131">
        <v>9934845</v>
      </c>
      <c r="N131">
        <v>407129.9</v>
      </c>
      <c r="O131">
        <v>6667.87</v>
      </c>
    </row>
    <row r="132" spans="1:15">
      <c r="A132" s="101">
        <v>35672</v>
      </c>
      <c r="B132" s="113">
        <f t="shared" si="7"/>
        <v>39.392000000000003</v>
      </c>
      <c r="C132" s="113">
        <f t="shared" si="8"/>
        <v>9934.8449999999993</v>
      </c>
      <c r="D132" s="74">
        <f t="shared" si="9"/>
        <v>407.12990000000002</v>
      </c>
      <c r="E132" s="74">
        <f t="shared" si="10"/>
        <v>49.409349992743948</v>
      </c>
      <c r="F132" s="113">
        <f t="shared" si="11"/>
        <v>0</v>
      </c>
      <c r="G132" s="115">
        <f t="shared" si="12"/>
        <v>-4.1366036579404408E-4</v>
      </c>
      <c r="H132" s="114">
        <f t="shared" si="13"/>
        <v>6667.87</v>
      </c>
      <c r="K132" s="117">
        <v>35700</v>
      </c>
      <c r="L132">
        <v>35.758499999999998</v>
      </c>
      <c r="M132">
        <v>9934845</v>
      </c>
      <c r="N132">
        <v>369576.1</v>
      </c>
      <c r="O132">
        <v>6080.12</v>
      </c>
    </row>
    <row r="133" spans="1:15">
      <c r="A133" s="101">
        <v>35700</v>
      </c>
      <c r="B133" s="113">
        <f t="shared" ref="B133:B196" si="14">L132</f>
        <v>35.758499999999998</v>
      </c>
      <c r="C133" s="113">
        <f t="shared" ref="C133:C196" si="15">M132/1000</f>
        <v>9934.8449999999993</v>
      </c>
      <c r="D133" s="74">
        <f t="shared" ref="D133:D196" si="16">N132/1000</f>
        <v>369.5761</v>
      </c>
      <c r="E133" s="74">
        <f t="shared" ref="E133:E196" si="17">H133/H132*E132</f>
        <v>45.054084299466297</v>
      </c>
      <c r="F133" s="113">
        <f t="shared" ref="F133:F196" si="18">-(C133-C132)*(B132+B133)/2</f>
        <v>0</v>
      </c>
      <c r="G133" s="115">
        <f t="shared" ref="G133:G196" si="19">-((D133-D132)-D132*(B133/B132-1))</f>
        <v>3.2488703285338261E-4</v>
      </c>
      <c r="H133" s="114">
        <f t="shared" ref="H133:H196" si="20">O132</f>
        <v>6080.12</v>
      </c>
      <c r="K133" s="117">
        <v>35733</v>
      </c>
      <c r="L133">
        <v>34.999099999999999</v>
      </c>
      <c r="M133">
        <v>9927380</v>
      </c>
      <c r="N133">
        <v>361455.8</v>
      </c>
      <c r="O133">
        <v>5951</v>
      </c>
    </row>
    <row r="134" spans="1:15">
      <c r="A134" s="101">
        <v>35733</v>
      </c>
      <c r="B134" s="113">
        <f t="shared" si="14"/>
        <v>34.999099999999999</v>
      </c>
      <c r="C134" s="113">
        <f t="shared" si="15"/>
        <v>9927.3799999999992</v>
      </c>
      <c r="D134" s="74">
        <f t="shared" si="16"/>
        <v>361.45580000000001</v>
      </c>
      <c r="E134" s="74">
        <f t="shared" si="17"/>
        <v>44.097296708966915</v>
      </c>
      <c r="F134" s="113">
        <f t="shared" si="18"/>
        <v>264.10274200000515</v>
      </c>
      <c r="G134" s="115">
        <f t="shared" si="19"/>
        <v>0.27164610400324651</v>
      </c>
      <c r="H134" s="114">
        <f t="shared" si="20"/>
        <v>5951</v>
      </c>
      <c r="K134" s="117">
        <v>35763</v>
      </c>
      <c r="L134">
        <v>37.008099999999999</v>
      </c>
      <c r="M134">
        <v>9927380</v>
      </c>
      <c r="N134">
        <v>382204.1</v>
      </c>
      <c r="O134">
        <v>6292.6</v>
      </c>
    </row>
    <row r="135" spans="1:15">
      <c r="A135" s="101">
        <v>35763</v>
      </c>
      <c r="B135" s="113">
        <f t="shared" si="14"/>
        <v>37.008099999999999</v>
      </c>
      <c r="C135" s="113">
        <f t="shared" si="15"/>
        <v>9927.3799999999992</v>
      </c>
      <c r="D135" s="74">
        <f t="shared" si="16"/>
        <v>382.20409999999998</v>
      </c>
      <c r="E135" s="74">
        <f t="shared" si="17"/>
        <v>46.628574906880395</v>
      </c>
      <c r="F135" s="113">
        <f t="shared" si="18"/>
        <v>0</v>
      </c>
      <c r="G135" s="115">
        <f t="shared" si="19"/>
        <v>-2.0355752000256189E-4</v>
      </c>
      <c r="H135" s="114">
        <f t="shared" si="20"/>
        <v>6292.6</v>
      </c>
      <c r="K135" s="117">
        <v>35794</v>
      </c>
      <c r="L135">
        <v>38.526899999999998</v>
      </c>
      <c r="M135">
        <v>9927380</v>
      </c>
      <c r="N135">
        <v>397889.2</v>
      </c>
      <c r="O135">
        <v>6579.63</v>
      </c>
    </row>
    <row r="136" spans="1:15">
      <c r="A136" s="101">
        <v>35794</v>
      </c>
      <c r="B136" s="113">
        <f t="shared" si="14"/>
        <v>38.526899999999998</v>
      </c>
      <c r="C136" s="113">
        <f t="shared" si="15"/>
        <v>9927.3799999999992</v>
      </c>
      <c r="D136" s="74">
        <f t="shared" si="16"/>
        <v>397.88920000000002</v>
      </c>
      <c r="E136" s="74">
        <f t="shared" si="17"/>
        <v>48.755485858716177</v>
      </c>
      <c r="F136" s="113">
        <f t="shared" si="18"/>
        <v>0</v>
      </c>
      <c r="G136" s="115">
        <f t="shared" si="19"/>
        <v>4.2795415052765406E-4</v>
      </c>
      <c r="H136" s="114">
        <f t="shared" si="20"/>
        <v>6579.63</v>
      </c>
      <c r="K136" s="117">
        <v>35825</v>
      </c>
      <c r="L136">
        <v>35.7104</v>
      </c>
      <c r="M136">
        <v>9927380</v>
      </c>
      <c r="N136">
        <v>368802.1</v>
      </c>
      <c r="O136">
        <v>6098.64</v>
      </c>
    </row>
    <row r="137" spans="1:15">
      <c r="A137" s="101">
        <v>35825</v>
      </c>
      <c r="B137" s="113">
        <f t="shared" si="14"/>
        <v>35.7104</v>
      </c>
      <c r="C137" s="113">
        <f t="shared" si="15"/>
        <v>9927.3799999999992</v>
      </c>
      <c r="D137" s="74">
        <f t="shared" si="16"/>
        <v>368.8021</v>
      </c>
      <c r="E137" s="74">
        <f t="shared" si="17"/>
        <v>45.191318702936314</v>
      </c>
      <c r="F137" s="113">
        <f t="shared" si="18"/>
        <v>0</v>
      </c>
      <c r="G137" s="115">
        <f t="shared" si="19"/>
        <v>-4.9676485776828372E-4</v>
      </c>
      <c r="H137" s="114">
        <f t="shared" si="20"/>
        <v>6098.64</v>
      </c>
      <c r="K137" s="117">
        <v>35853</v>
      </c>
      <c r="L137">
        <v>37.008099999999999</v>
      </c>
      <c r="M137">
        <v>9927380</v>
      </c>
      <c r="N137">
        <v>382204.1</v>
      </c>
      <c r="O137">
        <v>6349.61</v>
      </c>
    </row>
    <row r="138" spans="1:15">
      <c r="A138" s="101">
        <v>35853</v>
      </c>
      <c r="B138" s="113">
        <f t="shared" si="14"/>
        <v>37.008099999999999</v>
      </c>
      <c r="C138" s="113">
        <f t="shared" si="15"/>
        <v>9927.3799999999992</v>
      </c>
      <c r="D138" s="74">
        <f t="shared" si="16"/>
        <v>382.20409999999998</v>
      </c>
      <c r="E138" s="74">
        <f t="shared" si="17"/>
        <v>47.051022711514598</v>
      </c>
      <c r="F138" s="113">
        <f t="shared" si="18"/>
        <v>0</v>
      </c>
      <c r="G138" s="115">
        <f t="shared" si="19"/>
        <v>1.0373364620797076E-4</v>
      </c>
      <c r="H138" s="114">
        <f t="shared" si="20"/>
        <v>6349.61</v>
      </c>
      <c r="K138" s="117">
        <v>35882</v>
      </c>
      <c r="L138">
        <v>35.998800000000003</v>
      </c>
      <c r="M138">
        <v>9937497</v>
      </c>
      <c r="N138">
        <v>372159.2</v>
      </c>
      <c r="O138">
        <v>6176.44</v>
      </c>
    </row>
    <row r="139" spans="1:15">
      <c r="A139" s="101">
        <v>35882</v>
      </c>
      <c r="B139" s="113">
        <f t="shared" si="14"/>
        <v>35.998800000000003</v>
      </c>
      <c r="C139" s="113">
        <f t="shared" si="15"/>
        <v>9937.4969999999994</v>
      </c>
      <c r="D139" s="74">
        <f t="shared" si="16"/>
        <v>372.1592</v>
      </c>
      <c r="E139" s="74">
        <f t="shared" si="17"/>
        <v>45.767821758550085</v>
      </c>
      <c r="F139" s="113">
        <f t="shared" si="18"/>
        <v>-369.30540365000689</v>
      </c>
      <c r="G139" s="115">
        <f t="shared" si="19"/>
        <v>-0.37872612860426536</v>
      </c>
      <c r="H139" s="114">
        <f t="shared" si="20"/>
        <v>6176.44</v>
      </c>
      <c r="K139" s="117">
        <v>35914</v>
      </c>
      <c r="L139">
        <v>30.327400000000001</v>
      </c>
      <c r="M139">
        <v>9937497</v>
      </c>
      <c r="N139">
        <v>313527.90000000002</v>
      </c>
      <c r="O139">
        <v>5203.38</v>
      </c>
    </row>
    <row r="140" spans="1:15">
      <c r="A140" s="101">
        <v>35914</v>
      </c>
      <c r="B140" s="113">
        <f t="shared" si="14"/>
        <v>30.327400000000001</v>
      </c>
      <c r="C140" s="113">
        <f t="shared" si="15"/>
        <v>9937.4969999999994</v>
      </c>
      <c r="D140" s="74">
        <f t="shared" si="16"/>
        <v>313.52790000000005</v>
      </c>
      <c r="E140" s="74">
        <f t="shared" si="17"/>
        <v>38.557383926987775</v>
      </c>
      <c r="F140" s="113">
        <f t="shared" si="18"/>
        <v>0</v>
      </c>
      <c r="G140" s="115">
        <f t="shared" si="19"/>
        <v>-2.0124115253139507E-4</v>
      </c>
      <c r="H140" s="114">
        <f t="shared" si="20"/>
        <v>5203.38</v>
      </c>
      <c r="K140" s="117">
        <v>35945</v>
      </c>
      <c r="L140">
        <v>29.933299999999999</v>
      </c>
      <c r="M140">
        <v>9937768</v>
      </c>
      <c r="N140">
        <v>309462.09999999998</v>
      </c>
      <c r="O140">
        <v>5135.7700000000004</v>
      </c>
    </row>
    <row r="141" spans="1:15">
      <c r="A141" s="101">
        <v>35945</v>
      </c>
      <c r="B141" s="113">
        <f t="shared" si="14"/>
        <v>29.933299999999999</v>
      </c>
      <c r="C141" s="113">
        <f t="shared" si="15"/>
        <v>9937.768</v>
      </c>
      <c r="D141" s="74">
        <f t="shared" si="16"/>
        <v>309.46209999999996</v>
      </c>
      <c r="E141" s="74">
        <f t="shared" si="17"/>
        <v>38.056389433542428</v>
      </c>
      <c r="F141" s="113">
        <f t="shared" si="18"/>
        <v>-8.1653248500192923</v>
      </c>
      <c r="G141" s="115">
        <f t="shared" si="19"/>
        <v>-8.4478877186286994E-3</v>
      </c>
      <c r="H141" s="114">
        <f t="shared" si="20"/>
        <v>5135.7700000000004</v>
      </c>
      <c r="K141" s="117">
        <v>35973</v>
      </c>
      <c r="L141">
        <v>27.924299999999999</v>
      </c>
      <c r="M141">
        <v>9949470</v>
      </c>
      <c r="N141">
        <v>289031.90000000002</v>
      </c>
      <c r="O141">
        <v>4820.3</v>
      </c>
    </row>
    <row r="142" spans="1:15">
      <c r="A142" s="101">
        <v>35973</v>
      </c>
      <c r="B142" s="113">
        <f t="shared" si="14"/>
        <v>27.924299999999999</v>
      </c>
      <c r="C142" s="113">
        <f t="shared" si="15"/>
        <v>9949.4699999999993</v>
      </c>
      <c r="D142" s="74">
        <f t="shared" si="16"/>
        <v>289.03190000000001</v>
      </c>
      <c r="E142" s="74">
        <f t="shared" si="17"/>
        <v>35.71873623361337</v>
      </c>
      <c r="F142" s="113">
        <f t="shared" si="18"/>
        <v>-338.52481759998022</v>
      </c>
      <c r="G142" s="115">
        <f t="shared" si="19"/>
        <v>-0.33962353766544595</v>
      </c>
      <c r="H142" s="114">
        <f t="shared" si="20"/>
        <v>4820.3</v>
      </c>
      <c r="K142" s="117">
        <v>36006</v>
      </c>
      <c r="L142">
        <v>30.952200000000001</v>
      </c>
      <c r="M142">
        <v>9949470</v>
      </c>
      <c r="N142">
        <v>320372.90000000002</v>
      </c>
      <c r="O142">
        <v>5342.99</v>
      </c>
    </row>
    <row r="143" spans="1:15">
      <c r="A143" s="101">
        <v>36006</v>
      </c>
      <c r="B143" s="113">
        <f t="shared" si="14"/>
        <v>30.952200000000001</v>
      </c>
      <c r="C143" s="113">
        <f t="shared" si="15"/>
        <v>9949.4699999999993</v>
      </c>
      <c r="D143" s="74">
        <f t="shared" si="16"/>
        <v>320.37290000000002</v>
      </c>
      <c r="E143" s="74">
        <f t="shared" si="17"/>
        <v>39.591903099150237</v>
      </c>
      <c r="F143" s="113">
        <f t="shared" si="18"/>
        <v>0</v>
      </c>
      <c r="G143" s="115">
        <f t="shared" si="19"/>
        <v>-5.6568257749489703E-4</v>
      </c>
      <c r="H143" s="114">
        <f t="shared" si="20"/>
        <v>5342.99</v>
      </c>
      <c r="K143" s="117">
        <v>36036</v>
      </c>
      <c r="L143">
        <v>28.9817</v>
      </c>
      <c r="M143">
        <v>9949470</v>
      </c>
      <c r="N143">
        <v>299976.40000000002</v>
      </c>
      <c r="O143">
        <v>5002.83</v>
      </c>
    </row>
    <row r="144" spans="1:15">
      <c r="A144" s="101">
        <v>36036</v>
      </c>
      <c r="B144" s="113">
        <f t="shared" si="14"/>
        <v>28.9817</v>
      </c>
      <c r="C144" s="113">
        <f t="shared" si="15"/>
        <v>9949.4699999999993</v>
      </c>
      <c r="D144" s="74">
        <f t="shared" si="16"/>
        <v>299.97640000000001</v>
      </c>
      <c r="E144" s="74">
        <f t="shared" si="17"/>
        <v>37.071295394811102</v>
      </c>
      <c r="F144" s="113">
        <f t="shared" si="18"/>
        <v>0</v>
      </c>
      <c r="G144" s="115">
        <f t="shared" si="19"/>
        <v>7.0262695380307605E-4</v>
      </c>
      <c r="H144" s="114">
        <f t="shared" si="20"/>
        <v>5002.83</v>
      </c>
      <c r="K144" s="117">
        <v>36067</v>
      </c>
      <c r="L144">
        <v>23.694800000000001</v>
      </c>
      <c r="M144">
        <v>9951057</v>
      </c>
      <c r="N144">
        <v>245293.5</v>
      </c>
      <c r="O144">
        <v>4117.4799999999996</v>
      </c>
    </row>
    <row r="145" spans="1:15">
      <c r="A145" s="101">
        <v>36067</v>
      </c>
      <c r="B145" s="113">
        <f t="shared" si="14"/>
        <v>23.694800000000001</v>
      </c>
      <c r="C145" s="113">
        <f t="shared" si="15"/>
        <v>9951.0570000000007</v>
      </c>
      <c r="D145" s="74">
        <f t="shared" si="16"/>
        <v>245.29349999999999</v>
      </c>
      <c r="E145" s="74">
        <f t="shared" si="17"/>
        <v>30.510794362835998</v>
      </c>
      <c r="F145" s="113">
        <f t="shared" si="18"/>
        <v>-41.798802750035648</v>
      </c>
      <c r="G145" s="115">
        <f t="shared" si="19"/>
        <v>-3.9398179885914431E-2</v>
      </c>
      <c r="H145" s="114">
        <f t="shared" si="20"/>
        <v>4117.4799999999996</v>
      </c>
      <c r="K145" s="117">
        <v>36098</v>
      </c>
      <c r="L145">
        <v>24.271599999999999</v>
      </c>
      <c r="M145">
        <v>9949470</v>
      </c>
      <c r="N145">
        <v>251224.1</v>
      </c>
      <c r="O145">
        <v>4217.7</v>
      </c>
    </row>
    <row r="146" spans="1:15">
      <c r="A146" s="101">
        <v>36098</v>
      </c>
      <c r="B146" s="113">
        <f t="shared" si="14"/>
        <v>24.271599999999999</v>
      </c>
      <c r="C146" s="113">
        <f t="shared" si="15"/>
        <v>9949.4699999999993</v>
      </c>
      <c r="D146" s="74">
        <f t="shared" si="16"/>
        <v>251.22409999999999</v>
      </c>
      <c r="E146" s="74">
        <f t="shared" si="17"/>
        <v>31.253431075350314</v>
      </c>
      <c r="F146" s="113">
        <f t="shared" si="18"/>
        <v>38.061338400032454</v>
      </c>
      <c r="G146" s="115">
        <f t="shared" si="19"/>
        <v>4.0553620203582774E-2</v>
      </c>
      <c r="H146" s="114">
        <f t="shared" si="20"/>
        <v>4217.7</v>
      </c>
      <c r="K146" s="117">
        <v>36127</v>
      </c>
      <c r="L146">
        <v>26.049900000000001</v>
      </c>
      <c r="M146">
        <v>9949470</v>
      </c>
      <c r="N146">
        <v>269630.5</v>
      </c>
      <c r="O146">
        <v>4526.71</v>
      </c>
    </row>
    <row r="147" spans="1:15">
      <c r="A147" s="101">
        <v>36127</v>
      </c>
      <c r="B147" s="113">
        <f t="shared" si="14"/>
        <v>26.049900000000001</v>
      </c>
      <c r="C147" s="113">
        <f t="shared" si="15"/>
        <v>9949.4699999999993</v>
      </c>
      <c r="D147" s="74">
        <f t="shared" si="16"/>
        <v>269.63049999999998</v>
      </c>
      <c r="E147" s="74">
        <f t="shared" si="17"/>
        <v>33.543215255494474</v>
      </c>
      <c r="F147" s="113">
        <f t="shared" si="18"/>
        <v>0</v>
      </c>
      <c r="G147" s="115">
        <f t="shared" si="19"/>
        <v>-3.9602251163728397E-5</v>
      </c>
      <c r="H147" s="114">
        <f t="shared" si="20"/>
        <v>4526.71</v>
      </c>
      <c r="K147" s="117">
        <v>36159</v>
      </c>
      <c r="L147">
        <v>23.406400000000001</v>
      </c>
      <c r="M147">
        <v>9949470</v>
      </c>
      <c r="N147">
        <v>242269.5</v>
      </c>
      <c r="O147">
        <v>4098.6499999999996</v>
      </c>
    </row>
    <row r="148" spans="1:15">
      <c r="A148" s="101">
        <v>36159</v>
      </c>
      <c r="B148" s="113">
        <f t="shared" si="14"/>
        <v>23.406400000000001</v>
      </c>
      <c r="C148" s="113">
        <f t="shared" si="15"/>
        <v>9949.4699999999993</v>
      </c>
      <c r="D148" s="74">
        <f t="shared" si="16"/>
        <v>242.26949999999999</v>
      </c>
      <c r="E148" s="74">
        <f t="shared" si="17"/>
        <v>30.371262839221512</v>
      </c>
      <c r="F148" s="113">
        <f t="shared" si="18"/>
        <v>0</v>
      </c>
      <c r="G148" s="115">
        <f t="shared" si="19"/>
        <v>-6.4924817369771404E-4</v>
      </c>
      <c r="H148" s="114">
        <f t="shared" si="20"/>
        <v>4098.6499999999996</v>
      </c>
      <c r="K148" s="117">
        <v>36190</v>
      </c>
      <c r="L148">
        <v>22.243300000000001</v>
      </c>
      <c r="M148">
        <v>9949470</v>
      </c>
      <c r="N148">
        <v>230230.7</v>
      </c>
      <c r="O148">
        <v>3894.98</v>
      </c>
    </row>
    <row r="149" spans="1:15">
      <c r="A149" s="101">
        <v>36190</v>
      </c>
      <c r="B149" s="113">
        <f t="shared" si="14"/>
        <v>22.243300000000001</v>
      </c>
      <c r="C149" s="113">
        <f t="shared" si="15"/>
        <v>9949.4699999999993</v>
      </c>
      <c r="D149" s="74">
        <f t="shared" si="16"/>
        <v>230.23070000000001</v>
      </c>
      <c r="E149" s="74">
        <f t="shared" si="17"/>
        <v>28.862054904300443</v>
      </c>
      <c r="F149" s="113">
        <f t="shared" si="18"/>
        <v>0</v>
      </c>
      <c r="G149" s="115">
        <f t="shared" si="19"/>
        <v>5.6090214613391254E-5</v>
      </c>
      <c r="H149" s="114">
        <f t="shared" si="20"/>
        <v>3894.98</v>
      </c>
      <c r="K149" s="117">
        <v>36218</v>
      </c>
      <c r="L149">
        <v>23.117999999999999</v>
      </c>
      <c r="M149">
        <v>9993190</v>
      </c>
      <c r="N149">
        <v>240336.1</v>
      </c>
      <c r="O149">
        <v>4081.07</v>
      </c>
    </row>
    <row r="150" spans="1:15">
      <c r="A150" s="101">
        <v>36218</v>
      </c>
      <c r="B150" s="113">
        <f t="shared" si="14"/>
        <v>23.117999999999999</v>
      </c>
      <c r="C150" s="113">
        <f t="shared" si="15"/>
        <v>9993.19</v>
      </c>
      <c r="D150" s="74">
        <f t="shared" si="16"/>
        <v>240.33610000000002</v>
      </c>
      <c r="E150" s="74">
        <f t="shared" si="17"/>
        <v>30.240993896834748</v>
      </c>
      <c r="F150" s="113">
        <f t="shared" si="18"/>
        <v>-991.5980180000264</v>
      </c>
      <c r="G150" s="115">
        <f t="shared" si="19"/>
        <v>-1.0517616778985328</v>
      </c>
      <c r="H150" s="114">
        <f t="shared" si="20"/>
        <v>4081.07</v>
      </c>
      <c r="K150" s="117">
        <v>36249</v>
      </c>
      <c r="L150">
        <v>24.511900000000001</v>
      </c>
      <c r="M150">
        <v>9994360</v>
      </c>
      <c r="N150">
        <v>254856.1</v>
      </c>
      <c r="O150">
        <v>4327.12</v>
      </c>
    </row>
    <row r="151" spans="1:15">
      <c r="A151" s="101">
        <v>36249</v>
      </c>
      <c r="B151" s="113">
        <f t="shared" si="14"/>
        <v>24.511900000000001</v>
      </c>
      <c r="C151" s="113">
        <f t="shared" si="15"/>
        <v>9994.36</v>
      </c>
      <c r="D151" s="74">
        <f t="shared" si="16"/>
        <v>254.8561</v>
      </c>
      <c r="E151" s="74">
        <f t="shared" si="17"/>
        <v>32.0642403857007</v>
      </c>
      <c r="F151" s="113">
        <f t="shared" si="18"/>
        <v>-27.863491500001732</v>
      </c>
      <c r="G151" s="115">
        <f t="shared" si="19"/>
        <v>-2.8932875248678158E-2</v>
      </c>
      <c r="H151" s="114">
        <f t="shared" si="20"/>
        <v>4327.12</v>
      </c>
      <c r="K151" s="117">
        <v>36279</v>
      </c>
      <c r="L151">
        <v>28.308800000000002</v>
      </c>
      <c r="M151">
        <v>9994360</v>
      </c>
      <c r="N151">
        <v>294333.8</v>
      </c>
      <c r="O151">
        <v>4997.3999999999996</v>
      </c>
    </row>
    <row r="152" spans="1:15">
      <c r="A152" s="101">
        <v>36279</v>
      </c>
      <c r="B152" s="113">
        <f t="shared" si="14"/>
        <v>28.308800000000002</v>
      </c>
      <c r="C152" s="113">
        <f t="shared" si="15"/>
        <v>9994.36</v>
      </c>
      <c r="D152" s="74">
        <f t="shared" si="16"/>
        <v>294.3338</v>
      </c>
      <c r="E152" s="74">
        <f t="shared" si="17"/>
        <v>37.03105874195785</v>
      </c>
      <c r="F152" s="113">
        <f t="shared" si="18"/>
        <v>0</v>
      </c>
      <c r="G152" s="115">
        <f t="shared" si="19"/>
        <v>-4.2055246632344279E-4</v>
      </c>
      <c r="H152" s="114">
        <f t="shared" si="20"/>
        <v>4997.3999999999996</v>
      </c>
      <c r="K152" s="117">
        <v>36309</v>
      </c>
      <c r="L152">
        <v>27.587900000000001</v>
      </c>
      <c r="M152">
        <v>9993192</v>
      </c>
      <c r="N152">
        <v>286804.59999999998</v>
      </c>
      <c r="O152">
        <v>4870.13</v>
      </c>
    </row>
    <row r="153" spans="1:15">
      <c r="A153" s="101">
        <v>36309</v>
      </c>
      <c r="B153" s="113">
        <f t="shared" si="14"/>
        <v>27.587900000000001</v>
      </c>
      <c r="C153" s="113">
        <f t="shared" si="15"/>
        <v>9993.1919999999991</v>
      </c>
      <c r="D153" s="74">
        <f t="shared" si="16"/>
        <v>286.80459999999999</v>
      </c>
      <c r="E153" s="74">
        <f t="shared" si="17"/>
        <v>36.087979771675514</v>
      </c>
      <c r="F153" s="113">
        <f t="shared" si="18"/>
        <v>32.643672800041486</v>
      </c>
      <c r="G153" s="115">
        <f t="shared" si="19"/>
        <v>3.3819184847103223E-2</v>
      </c>
      <c r="H153" s="114">
        <f t="shared" si="20"/>
        <v>4870.13</v>
      </c>
      <c r="K153" s="117">
        <v>36340</v>
      </c>
      <c r="L153">
        <v>27.5686</v>
      </c>
      <c r="M153">
        <v>10018840</v>
      </c>
      <c r="N153">
        <v>287340.3</v>
      </c>
      <c r="O153">
        <v>4898.46</v>
      </c>
    </row>
    <row r="154" spans="1:15">
      <c r="A154" s="101">
        <v>36340</v>
      </c>
      <c r="B154" s="113">
        <f t="shared" si="14"/>
        <v>27.5686</v>
      </c>
      <c r="C154" s="113">
        <f t="shared" si="15"/>
        <v>10018.84</v>
      </c>
      <c r="D154" s="74">
        <f t="shared" si="16"/>
        <v>287.34030000000001</v>
      </c>
      <c r="E154" s="74">
        <f t="shared" si="17"/>
        <v>36.297906912620739</v>
      </c>
      <c r="F154" s="113">
        <f t="shared" si="18"/>
        <v>-707.32695600002887</v>
      </c>
      <c r="G154" s="115">
        <f t="shared" si="19"/>
        <v>-0.73634335378918991</v>
      </c>
      <c r="H154" s="114">
        <f t="shared" si="20"/>
        <v>4898.46</v>
      </c>
      <c r="K154" s="117">
        <v>36371</v>
      </c>
      <c r="L154">
        <v>27.337900000000001</v>
      </c>
      <c r="M154">
        <v>10018840</v>
      </c>
      <c r="N154">
        <v>284935.8</v>
      </c>
      <c r="O154">
        <v>4857.46</v>
      </c>
    </row>
    <row r="155" spans="1:15">
      <c r="A155" s="101">
        <v>36371</v>
      </c>
      <c r="B155" s="113">
        <f t="shared" si="14"/>
        <v>27.337900000000001</v>
      </c>
      <c r="C155" s="113">
        <f t="shared" si="15"/>
        <v>10018.84</v>
      </c>
      <c r="D155" s="74">
        <f t="shared" si="16"/>
        <v>284.93579999999997</v>
      </c>
      <c r="E155" s="74">
        <f t="shared" si="17"/>
        <v>35.994094248351267</v>
      </c>
      <c r="F155" s="113">
        <f t="shared" si="18"/>
        <v>0</v>
      </c>
      <c r="G155" s="115">
        <f t="shared" si="19"/>
        <v>-2.5699890407793191E-5</v>
      </c>
      <c r="H155" s="114">
        <f t="shared" si="20"/>
        <v>4857.46</v>
      </c>
      <c r="K155" s="117">
        <v>36400</v>
      </c>
      <c r="L155">
        <v>28.424099999999999</v>
      </c>
      <c r="M155">
        <v>10018840</v>
      </c>
      <c r="N155">
        <v>296257.09999999998</v>
      </c>
      <c r="O155">
        <v>5050.46</v>
      </c>
    </row>
    <row r="156" spans="1:15">
      <c r="A156" s="101">
        <v>36400</v>
      </c>
      <c r="B156" s="113">
        <f t="shared" si="14"/>
        <v>28.424099999999999</v>
      </c>
      <c r="C156" s="113">
        <f t="shared" si="15"/>
        <v>10018.84</v>
      </c>
      <c r="D156" s="74">
        <f t="shared" si="16"/>
        <v>296.25709999999998</v>
      </c>
      <c r="E156" s="74">
        <f t="shared" si="17"/>
        <v>37.424236789912449</v>
      </c>
      <c r="F156" s="113">
        <f t="shared" si="18"/>
        <v>0</v>
      </c>
      <c r="G156" s="115">
        <f t="shared" si="19"/>
        <v>-1.2075945851108827E-4</v>
      </c>
      <c r="H156" s="114">
        <f t="shared" si="20"/>
        <v>5050.46</v>
      </c>
      <c r="K156" s="117">
        <v>36432</v>
      </c>
      <c r="L156">
        <v>28.654900000000001</v>
      </c>
      <c r="M156">
        <v>10040860</v>
      </c>
      <c r="N156">
        <v>299317.90000000002</v>
      </c>
      <c r="O156">
        <v>5123.3</v>
      </c>
    </row>
    <row r="157" spans="1:15">
      <c r="A157" s="101">
        <v>36432</v>
      </c>
      <c r="B157" s="113">
        <f t="shared" si="14"/>
        <v>28.654900000000001</v>
      </c>
      <c r="C157" s="113">
        <f t="shared" si="15"/>
        <v>10040.86</v>
      </c>
      <c r="D157" s="74">
        <f t="shared" si="16"/>
        <v>299.31790000000001</v>
      </c>
      <c r="E157" s="74">
        <f t="shared" si="17"/>
        <v>37.963985923214615</v>
      </c>
      <c r="F157" s="113">
        <f t="shared" si="18"/>
        <v>-628.43979000001252</v>
      </c>
      <c r="G157" s="115">
        <f t="shared" si="19"/>
        <v>-0.65523082876855954</v>
      </c>
      <c r="H157" s="114">
        <f t="shared" si="20"/>
        <v>5123.3</v>
      </c>
      <c r="K157" s="117">
        <v>36463</v>
      </c>
      <c r="L157">
        <v>27.8858</v>
      </c>
      <c r="M157">
        <v>10040860</v>
      </c>
      <c r="N157">
        <v>291285.2</v>
      </c>
      <c r="O157">
        <v>4985.8100000000004</v>
      </c>
    </row>
    <row r="158" spans="1:15">
      <c r="A158" s="101">
        <v>36463</v>
      </c>
      <c r="B158" s="113">
        <f t="shared" si="14"/>
        <v>27.8858</v>
      </c>
      <c r="C158" s="113">
        <f t="shared" si="15"/>
        <v>10040.86</v>
      </c>
      <c r="D158" s="74">
        <f t="shared" si="16"/>
        <v>291.28520000000003</v>
      </c>
      <c r="E158" s="74">
        <f t="shared" si="17"/>
        <v>36.945176088814371</v>
      </c>
      <c r="F158" s="113">
        <f t="shared" si="18"/>
        <v>0</v>
      </c>
      <c r="G158" s="115">
        <f t="shared" si="19"/>
        <v>-1.0183828944221318E-3</v>
      </c>
      <c r="H158" s="114">
        <f t="shared" si="20"/>
        <v>4985.8100000000004</v>
      </c>
      <c r="K158" s="117">
        <v>36491</v>
      </c>
      <c r="L158">
        <v>27.559000000000001</v>
      </c>
      <c r="M158">
        <v>10040860</v>
      </c>
      <c r="N158">
        <v>287871.3</v>
      </c>
      <c r="O158">
        <v>4927.38</v>
      </c>
    </row>
    <row r="159" spans="1:15">
      <c r="A159" s="101">
        <v>36491</v>
      </c>
      <c r="B159" s="113">
        <f t="shared" si="14"/>
        <v>27.559000000000001</v>
      </c>
      <c r="C159" s="113">
        <f t="shared" si="15"/>
        <v>10040.86</v>
      </c>
      <c r="D159" s="74">
        <f t="shared" si="16"/>
        <v>287.87129999999996</v>
      </c>
      <c r="E159" s="74">
        <f t="shared" si="17"/>
        <v>36.512205991905454</v>
      </c>
      <c r="F159" s="113">
        <f t="shared" si="18"/>
        <v>0</v>
      </c>
      <c r="G159" s="115">
        <f t="shared" si="19"/>
        <v>2.6283126186710248E-4</v>
      </c>
      <c r="H159" s="114">
        <f t="shared" si="20"/>
        <v>4927.38</v>
      </c>
      <c r="K159" s="117">
        <v>36524</v>
      </c>
      <c r="L159">
        <v>29.779499999999999</v>
      </c>
      <c r="M159">
        <v>10063120</v>
      </c>
      <c r="N159">
        <v>311755.3</v>
      </c>
      <c r="O159">
        <v>5358.92</v>
      </c>
    </row>
    <row r="160" spans="1:15">
      <c r="A160" s="101">
        <v>36524</v>
      </c>
      <c r="B160" s="113">
        <f t="shared" si="14"/>
        <v>29.779499999999999</v>
      </c>
      <c r="C160" s="113">
        <f t="shared" si="15"/>
        <v>10063.120000000001</v>
      </c>
      <c r="D160" s="74">
        <f t="shared" si="16"/>
        <v>311.75529999999998</v>
      </c>
      <c r="E160" s="74">
        <f t="shared" si="17"/>
        <v>39.709945434316403</v>
      </c>
      <c r="F160" s="113">
        <f t="shared" si="18"/>
        <v>-638.17750500000625</v>
      </c>
      <c r="G160" s="115">
        <f t="shared" si="19"/>
        <v>-0.68946385391348386</v>
      </c>
      <c r="H160" s="114">
        <f t="shared" si="20"/>
        <v>5358.92</v>
      </c>
      <c r="K160" s="117">
        <v>36554</v>
      </c>
      <c r="L160">
        <v>32.326799999999999</v>
      </c>
      <c r="M160">
        <v>10063120</v>
      </c>
      <c r="N160">
        <v>338422.6</v>
      </c>
      <c r="O160">
        <v>5817.32</v>
      </c>
    </row>
    <row r="161" spans="1:15">
      <c r="A161" s="101">
        <v>36554</v>
      </c>
      <c r="B161" s="113">
        <f t="shared" si="14"/>
        <v>32.326799999999999</v>
      </c>
      <c r="C161" s="113">
        <f t="shared" si="15"/>
        <v>10063.120000000001</v>
      </c>
      <c r="D161" s="74">
        <f t="shared" si="16"/>
        <v>338.42259999999999</v>
      </c>
      <c r="E161" s="74">
        <f t="shared" si="17"/>
        <v>43.106719222148769</v>
      </c>
      <c r="F161" s="113">
        <f t="shared" si="18"/>
        <v>0</v>
      </c>
      <c r="G161" s="115">
        <f t="shared" si="19"/>
        <v>-1.539535586942975E-4</v>
      </c>
      <c r="H161" s="114">
        <f t="shared" si="20"/>
        <v>5817.32</v>
      </c>
      <c r="K161" s="117">
        <v>36582</v>
      </c>
      <c r="L161">
        <v>31.259799999999998</v>
      </c>
      <c r="M161">
        <v>10082220</v>
      </c>
      <c r="N161">
        <v>327873.59999999998</v>
      </c>
      <c r="O161">
        <v>5659.75</v>
      </c>
    </row>
    <row r="162" spans="1:15">
      <c r="A162" s="101">
        <v>36582</v>
      </c>
      <c r="B162" s="113">
        <f t="shared" si="14"/>
        <v>31.259799999999998</v>
      </c>
      <c r="C162" s="113">
        <f t="shared" si="15"/>
        <v>10082.219999999999</v>
      </c>
      <c r="D162" s="74">
        <f t="shared" si="16"/>
        <v>327.87359999999995</v>
      </c>
      <c r="E162" s="74">
        <f t="shared" si="17"/>
        <v>41.9391152829063</v>
      </c>
      <c r="F162" s="113">
        <f t="shared" si="18"/>
        <v>-607.25202999995372</v>
      </c>
      <c r="G162" s="115">
        <f t="shared" si="19"/>
        <v>-0.62120287192047741</v>
      </c>
      <c r="H162" s="114">
        <f t="shared" si="20"/>
        <v>5659.75</v>
      </c>
      <c r="K162" s="117">
        <v>36615</v>
      </c>
      <c r="L162">
        <v>29.337299999999999</v>
      </c>
      <c r="M162">
        <v>10212650</v>
      </c>
      <c r="N162">
        <v>311689.8</v>
      </c>
      <c r="O162">
        <v>5311.67</v>
      </c>
    </row>
    <row r="163" spans="1:15">
      <c r="A163" s="101">
        <v>36615</v>
      </c>
      <c r="B163" s="113">
        <f t="shared" si="14"/>
        <v>29.337299999999999</v>
      </c>
      <c r="C163" s="113">
        <f t="shared" si="15"/>
        <v>10212.65</v>
      </c>
      <c r="D163" s="74">
        <f t="shared" si="16"/>
        <v>311.68979999999999</v>
      </c>
      <c r="E163" s="74">
        <f t="shared" si="17"/>
        <v>39.359819863908285</v>
      </c>
      <c r="F163" s="113">
        <f t="shared" si="18"/>
        <v>-3951.8398765000088</v>
      </c>
      <c r="G163" s="115">
        <f t="shared" si="19"/>
        <v>-3.9806602972508038</v>
      </c>
      <c r="H163" s="114">
        <f t="shared" si="20"/>
        <v>5311.67</v>
      </c>
      <c r="K163" s="117">
        <v>36645</v>
      </c>
      <c r="L163">
        <v>28.789400000000001</v>
      </c>
      <c r="M163">
        <v>10212650</v>
      </c>
      <c r="N163">
        <v>305868.7</v>
      </c>
      <c r="O163">
        <v>5212.47</v>
      </c>
    </row>
    <row r="164" spans="1:15">
      <c r="A164" s="101">
        <v>36645</v>
      </c>
      <c r="B164" s="113">
        <f t="shared" si="14"/>
        <v>28.789400000000001</v>
      </c>
      <c r="C164" s="113">
        <f t="shared" si="15"/>
        <v>10212.65</v>
      </c>
      <c r="D164" s="74">
        <f t="shared" si="16"/>
        <v>305.86869999999999</v>
      </c>
      <c r="E164" s="74">
        <f t="shared" si="17"/>
        <v>38.6247414176758</v>
      </c>
      <c r="F164" s="113">
        <f t="shared" si="18"/>
        <v>0</v>
      </c>
      <c r="G164" s="115">
        <f t="shared" si="19"/>
        <v>1.757523701861885E-5</v>
      </c>
      <c r="H164" s="114">
        <f t="shared" si="20"/>
        <v>5212.47</v>
      </c>
      <c r="K164" s="117">
        <v>36676</v>
      </c>
      <c r="L164">
        <v>29.914100000000001</v>
      </c>
      <c r="M164">
        <v>10212650</v>
      </c>
      <c r="N164">
        <v>317817.40000000002</v>
      </c>
      <c r="O164">
        <v>5416.09</v>
      </c>
    </row>
    <row r="165" spans="1:15">
      <c r="A165" s="101">
        <v>36676</v>
      </c>
      <c r="B165" s="113">
        <f t="shared" si="14"/>
        <v>29.914100000000001</v>
      </c>
      <c r="C165" s="113">
        <f t="shared" si="15"/>
        <v>10212.65</v>
      </c>
      <c r="D165" s="74">
        <f t="shared" si="16"/>
        <v>317.81740000000002</v>
      </c>
      <c r="E165" s="74">
        <f t="shared" si="17"/>
        <v>40.133578849347757</v>
      </c>
      <c r="F165" s="113">
        <f t="shared" si="18"/>
        <v>0</v>
      </c>
      <c r="G165" s="115">
        <f t="shared" si="19"/>
        <v>5.0793382284730626E-4</v>
      </c>
      <c r="H165" s="114">
        <f t="shared" si="20"/>
        <v>5416.09</v>
      </c>
      <c r="K165" s="117">
        <v>36706</v>
      </c>
      <c r="L165">
        <v>31.144500000000001</v>
      </c>
      <c r="M165">
        <v>10558250</v>
      </c>
      <c r="N165">
        <v>342087.1</v>
      </c>
      <c r="O165">
        <v>5672.76</v>
      </c>
    </row>
    <row r="166" spans="1:15">
      <c r="A166" s="101">
        <v>36706</v>
      </c>
      <c r="B166" s="113">
        <f t="shared" si="14"/>
        <v>31.144500000000001</v>
      </c>
      <c r="C166" s="113">
        <f t="shared" si="15"/>
        <v>10558.25</v>
      </c>
      <c r="D166" s="74">
        <f t="shared" si="16"/>
        <v>342.08709999999996</v>
      </c>
      <c r="E166" s="74">
        <f t="shared" si="17"/>
        <v>42.035520228324494</v>
      </c>
      <c r="F166" s="113">
        <f t="shared" si="18"/>
        <v>-10550.92608000001</v>
      </c>
      <c r="G166" s="115">
        <f t="shared" si="19"/>
        <v>-11.197519023136202</v>
      </c>
      <c r="H166" s="114">
        <f t="shared" si="20"/>
        <v>5672.76</v>
      </c>
      <c r="K166" s="117">
        <v>36736</v>
      </c>
      <c r="L166">
        <v>31.961600000000001</v>
      </c>
      <c r="M166">
        <v>10558250</v>
      </c>
      <c r="N166">
        <v>351061.7</v>
      </c>
      <c r="O166">
        <v>5821.59</v>
      </c>
    </row>
    <row r="167" spans="1:15">
      <c r="A167" s="101">
        <v>36736</v>
      </c>
      <c r="B167" s="113">
        <f t="shared" si="14"/>
        <v>31.961600000000001</v>
      </c>
      <c r="C167" s="113">
        <f t="shared" si="15"/>
        <v>10558.25</v>
      </c>
      <c r="D167" s="74">
        <f t="shared" si="16"/>
        <v>351.06170000000003</v>
      </c>
      <c r="E167" s="74">
        <f t="shared" si="17"/>
        <v>43.138360199622682</v>
      </c>
      <c r="F167" s="113">
        <f t="shared" si="18"/>
        <v>0</v>
      </c>
      <c r="G167" s="115">
        <f t="shared" si="19"/>
        <v>3.1914816410960611E-4</v>
      </c>
      <c r="H167" s="114">
        <f t="shared" si="20"/>
        <v>5821.59</v>
      </c>
      <c r="K167" s="117">
        <v>36768</v>
      </c>
      <c r="L167">
        <v>31.519400000000001</v>
      </c>
      <c r="M167">
        <v>10558250</v>
      </c>
      <c r="N167">
        <v>346204.8</v>
      </c>
      <c r="O167">
        <v>5741.05</v>
      </c>
    </row>
    <row r="168" spans="1:15">
      <c r="A168" s="101">
        <v>36768</v>
      </c>
      <c r="B168" s="113">
        <f t="shared" si="14"/>
        <v>31.519400000000001</v>
      </c>
      <c r="C168" s="113">
        <f t="shared" si="15"/>
        <v>10558.25</v>
      </c>
      <c r="D168" s="74">
        <f t="shared" si="16"/>
        <v>346.20479999999998</v>
      </c>
      <c r="E168" s="74">
        <f t="shared" si="17"/>
        <v>42.54155356595772</v>
      </c>
      <c r="F168" s="113">
        <f t="shared" si="18"/>
        <v>0</v>
      </c>
      <c r="G168" s="115">
        <f t="shared" si="19"/>
        <v>-1.6234168495721235E-4</v>
      </c>
      <c r="H168" s="114">
        <f t="shared" si="20"/>
        <v>5741.05</v>
      </c>
      <c r="K168" s="117">
        <v>36798</v>
      </c>
      <c r="L168">
        <v>32.278799999999997</v>
      </c>
      <c r="M168">
        <v>10572130</v>
      </c>
      <c r="N168">
        <v>355012</v>
      </c>
      <c r="O168">
        <v>5914.55</v>
      </c>
    </row>
    <row r="169" spans="1:15">
      <c r="A169" s="101">
        <v>36798</v>
      </c>
      <c r="B169" s="113">
        <f t="shared" si="14"/>
        <v>32.278799999999997</v>
      </c>
      <c r="C169" s="113">
        <f t="shared" si="15"/>
        <v>10572.13</v>
      </c>
      <c r="D169" s="74">
        <f t="shared" si="16"/>
        <v>355.012</v>
      </c>
      <c r="E169" s="74">
        <f t="shared" si="17"/>
        <v>43.827199840366355</v>
      </c>
      <c r="F169" s="113">
        <f t="shared" si="18"/>
        <v>-442.7595079999744</v>
      </c>
      <c r="G169" s="115">
        <f t="shared" si="19"/>
        <v>-0.46605374975421832</v>
      </c>
      <c r="H169" s="114">
        <f t="shared" si="20"/>
        <v>5914.55</v>
      </c>
      <c r="K169" s="117">
        <v>36827</v>
      </c>
      <c r="L169">
        <v>32.797800000000002</v>
      </c>
      <c r="M169">
        <v>10572130</v>
      </c>
      <c r="N169">
        <v>360721.1</v>
      </c>
      <c r="O169">
        <v>6009.66</v>
      </c>
    </row>
    <row r="170" spans="1:15">
      <c r="A170" s="101">
        <v>36827</v>
      </c>
      <c r="B170" s="113">
        <f t="shared" si="14"/>
        <v>32.797800000000002</v>
      </c>
      <c r="C170" s="113">
        <f t="shared" si="15"/>
        <v>10572.13</v>
      </c>
      <c r="D170" s="74">
        <f t="shared" si="16"/>
        <v>360.72109999999998</v>
      </c>
      <c r="E170" s="74">
        <f t="shared" si="17"/>
        <v>44.531971120821709</v>
      </c>
      <c r="F170" s="113">
        <f t="shared" si="18"/>
        <v>0</v>
      </c>
      <c r="G170" s="115">
        <f t="shared" si="19"/>
        <v>-9.8111082190488474E-4</v>
      </c>
      <c r="H170" s="114">
        <f t="shared" si="20"/>
        <v>6009.66</v>
      </c>
      <c r="K170" s="117">
        <v>36859</v>
      </c>
      <c r="L170">
        <v>33.989800000000002</v>
      </c>
      <c r="M170">
        <v>10572130</v>
      </c>
      <c r="N170">
        <v>373830.40000000002</v>
      </c>
      <c r="O170">
        <v>6228.06</v>
      </c>
    </row>
    <row r="171" spans="1:15">
      <c r="A171" s="101">
        <v>36859</v>
      </c>
      <c r="B171" s="113">
        <f t="shared" si="14"/>
        <v>33.989800000000002</v>
      </c>
      <c r="C171" s="113">
        <f t="shared" si="15"/>
        <v>10572.13</v>
      </c>
      <c r="D171" s="74">
        <f t="shared" si="16"/>
        <v>373.8304</v>
      </c>
      <c r="E171" s="74">
        <f t="shared" si="17"/>
        <v>46.150329312930324</v>
      </c>
      <c r="F171" s="113">
        <f t="shared" si="18"/>
        <v>0</v>
      </c>
      <c r="G171" s="115">
        <f t="shared" si="19"/>
        <v>7.1198860901233729E-4</v>
      </c>
      <c r="H171" s="114">
        <f t="shared" si="20"/>
        <v>6228.06</v>
      </c>
      <c r="K171" s="117">
        <v>36890</v>
      </c>
      <c r="L171">
        <v>35.085599999999999</v>
      </c>
      <c r="M171">
        <v>10572130</v>
      </c>
      <c r="N171">
        <v>385882.8</v>
      </c>
      <c r="O171">
        <v>6467.25</v>
      </c>
    </row>
    <row r="172" spans="1:15">
      <c r="A172" s="101">
        <v>36890</v>
      </c>
      <c r="B172" s="113">
        <f t="shared" si="14"/>
        <v>35.085599999999999</v>
      </c>
      <c r="C172" s="113">
        <f t="shared" si="15"/>
        <v>10572.13</v>
      </c>
      <c r="D172" s="74">
        <f t="shared" si="16"/>
        <v>385.88279999999997</v>
      </c>
      <c r="E172" s="74">
        <f t="shared" si="17"/>
        <v>47.922742756018508</v>
      </c>
      <c r="F172" s="113">
        <f t="shared" si="18"/>
        <v>0</v>
      </c>
      <c r="G172" s="115">
        <f t="shared" si="19"/>
        <v>-4.5052339229378902E-4</v>
      </c>
      <c r="H172" s="114">
        <f t="shared" si="20"/>
        <v>6467.25</v>
      </c>
      <c r="K172" s="117">
        <v>36921</v>
      </c>
      <c r="L172">
        <v>34.729900000000001</v>
      </c>
      <c r="M172">
        <v>10572130</v>
      </c>
      <c r="N172">
        <v>381971</v>
      </c>
      <c r="O172">
        <v>6401.69</v>
      </c>
    </row>
    <row r="173" spans="1:15">
      <c r="A173" s="101">
        <v>36921</v>
      </c>
      <c r="B173" s="113">
        <f t="shared" si="14"/>
        <v>34.729900000000001</v>
      </c>
      <c r="C173" s="113">
        <f t="shared" si="15"/>
        <v>10572.13</v>
      </c>
      <c r="D173" s="74">
        <f t="shared" si="16"/>
        <v>381.971</v>
      </c>
      <c r="E173" s="74">
        <f t="shared" si="17"/>
        <v>47.436938895786632</v>
      </c>
      <c r="F173" s="113">
        <f t="shared" si="18"/>
        <v>0</v>
      </c>
      <c r="G173" s="115">
        <f t="shared" si="19"/>
        <v>-3.0388193446606593E-4</v>
      </c>
      <c r="H173" s="114">
        <f t="shared" si="20"/>
        <v>6401.69</v>
      </c>
      <c r="K173" s="117">
        <v>36949</v>
      </c>
      <c r="L173">
        <v>33.835999999999999</v>
      </c>
      <c r="M173">
        <v>10599920</v>
      </c>
      <c r="N173">
        <v>373117</v>
      </c>
      <c r="O173">
        <v>6275.5</v>
      </c>
    </row>
    <row r="174" spans="1:15">
      <c r="A174" s="101">
        <v>36949</v>
      </c>
      <c r="B174" s="113">
        <f t="shared" si="14"/>
        <v>33.835999999999999</v>
      </c>
      <c r="C174" s="113">
        <f t="shared" si="15"/>
        <v>10599.92</v>
      </c>
      <c r="D174" s="74">
        <f t="shared" si="16"/>
        <v>373.11700000000002</v>
      </c>
      <c r="E174" s="74">
        <f t="shared" si="17"/>
        <v>46.501862795685049</v>
      </c>
      <c r="F174" s="113">
        <f t="shared" si="18"/>
        <v>-952.72318050002991</v>
      </c>
      <c r="G174" s="115">
        <f t="shared" si="19"/>
        <v>-0.97740973339978332</v>
      </c>
      <c r="H174" s="114">
        <f t="shared" si="20"/>
        <v>6275.5</v>
      </c>
      <c r="K174" s="117">
        <v>36980</v>
      </c>
      <c r="L174">
        <v>34.662700000000001</v>
      </c>
      <c r="M174">
        <v>10605920</v>
      </c>
      <c r="N174">
        <v>382449.4</v>
      </c>
      <c r="O174">
        <v>6428.83</v>
      </c>
    </row>
    <row r="175" spans="1:15">
      <c r="A175" s="101">
        <v>36980</v>
      </c>
      <c r="B175" s="113">
        <f t="shared" si="14"/>
        <v>34.662700000000001</v>
      </c>
      <c r="C175" s="113">
        <f t="shared" si="15"/>
        <v>10605.92</v>
      </c>
      <c r="D175" s="74">
        <f t="shared" si="16"/>
        <v>382.44940000000003</v>
      </c>
      <c r="E175" s="74">
        <f t="shared" si="17"/>
        <v>47.638048059403054</v>
      </c>
      <c r="F175" s="113">
        <f t="shared" si="18"/>
        <v>-205.49610000000001</v>
      </c>
      <c r="G175" s="115">
        <f t="shared" si="19"/>
        <v>-0.21619761496625856</v>
      </c>
      <c r="H175" s="114">
        <f t="shared" si="20"/>
        <v>6428.83</v>
      </c>
      <c r="K175" s="117">
        <v>37009</v>
      </c>
      <c r="L175">
        <v>34.797199999999997</v>
      </c>
      <c r="M175">
        <v>10605920</v>
      </c>
      <c r="N175">
        <v>383934.2</v>
      </c>
      <c r="O175">
        <v>6453.79</v>
      </c>
    </row>
    <row r="176" spans="1:15">
      <c r="A176" s="101">
        <v>37009</v>
      </c>
      <c r="B176" s="113">
        <f t="shared" si="14"/>
        <v>34.797199999999997</v>
      </c>
      <c r="C176" s="113">
        <f t="shared" si="15"/>
        <v>10605.92</v>
      </c>
      <c r="D176" s="74">
        <f t="shared" si="16"/>
        <v>383.93420000000003</v>
      </c>
      <c r="E176" s="74">
        <f t="shared" si="17"/>
        <v>47.823003281358318</v>
      </c>
      <c r="F176" s="113">
        <f t="shared" si="18"/>
        <v>0</v>
      </c>
      <c r="G176" s="115">
        <f t="shared" si="19"/>
        <v>-8.0007212367072533E-4</v>
      </c>
      <c r="H176" s="114">
        <f t="shared" si="20"/>
        <v>6453.79</v>
      </c>
      <c r="K176" s="117">
        <v>37041</v>
      </c>
      <c r="L176">
        <v>35.066400000000002</v>
      </c>
      <c r="M176">
        <v>10605920</v>
      </c>
      <c r="N176">
        <v>386903.8</v>
      </c>
      <c r="O176">
        <v>6503.7</v>
      </c>
    </row>
    <row r="177" spans="1:15">
      <c r="A177" s="101">
        <v>37041</v>
      </c>
      <c r="B177" s="113">
        <f t="shared" si="14"/>
        <v>35.066400000000002</v>
      </c>
      <c r="C177" s="113">
        <f t="shared" si="15"/>
        <v>10605.92</v>
      </c>
      <c r="D177" s="74">
        <f t="shared" si="16"/>
        <v>386.90379999999999</v>
      </c>
      <c r="E177" s="74">
        <f t="shared" si="17"/>
        <v>48.19283962461904</v>
      </c>
      <c r="F177" s="113">
        <f t="shared" si="18"/>
        <v>0</v>
      </c>
      <c r="G177" s="115">
        <f t="shared" si="19"/>
        <v>6.1273665704719704E-4</v>
      </c>
      <c r="H177" s="114">
        <f t="shared" si="20"/>
        <v>6503.7</v>
      </c>
      <c r="K177" s="117">
        <v>37071</v>
      </c>
      <c r="L177">
        <v>33.307299999999998</v>
      </c>
      <c r="M177">
        <v>10600810</v>
      </c>
      <c r="N177">
        <v>367317.9</v>
      </c>
      <c r="O177">
        <v>6216.66</v>
      </c>
    </row>
    <row r="178" spans="1:15">
      <c r="A178" s="101">
        <v>37071</v>
      </c>
      <c r="B178" s="113">
        <f t="shared" si="14"/>
        <v>33.307299999999998</v>
      </c>
      <c r="C178" s="113">
        <f t="shared" si="15"/>
        <v>10600.81</v>
      </c>
      <c r="D178" s="74">
        <f t="shared" si="16"/>
        <v>367.31790000000001</v>
      </c>
      <c r="E178" s="74">
        <f t="shared" si="17"/>
        <v>46.065854572133432</v>
      </c>
      <c r="F178" s="113">
        <f t="shared" si="18"/>
        <v>174.6948035000199</v>
      </c>
      <c r="G178" s="115">
        <f t="shared" si="19"/>
        <v>0.17693658830098258</v>
      </c>
      <c r="H178" s="114">
        <f t="shared" si="20"/>
        <v>6216.66</v>
      </c>
      <c r="K178" s="117">
        <v>37100</v>
      </c>
      <c r="L178">
        <v>33.1631</v>
      </c>
      <c r="M178">
        <v>10600810</v>
      </c>
      <c r="N178">
        <v>365727.9</v>
      </c>
      <c r="O178">
        <v>6189.75</v>
      </c>
    </row>
    <row r="179" spans="1:15">
      <c r="A179" s="101">
        <v>37100</v>
      </c>
      <c r="B179" s="113">
        <f t="shared" si="14"/>
        <v>33.1631</v>
      </c>
      <c r="C179" s="113">
        <f t="shared" si="15"/>
        <v>10600.81</v>
      </c>
      <c r="D179" s="74">
        <f t="shared" si="16"/>
        <v>365.72790000000003</v>
      </c>
      <c r="E179" s="74">
        <f t="shared" si="17"/>
        <v>45.866449723462907</v>
      </c>
      <c r="F179" s="113">
        <f t="shared" si="18"/>
        <v>0</v>
      </c>
      <c r="G179" s="115">
        <f t="shared" si="19"/>
        <v>-2.5922785695331463E-4</v>
      </c>
      <c r="H179" s="114">
        <f t="shared" si="20"/>
        <v>6189.75</v>
      </c>
      <c r="K179" s="117">
        <v>37133</v>
      </c>
      <c r="L179">
        <v>32.307600000000001</v>
      </c>
      <c r="M179">
        <v>10600810</v>
      </c>
      <c r="N179">
        <v>356293</v>
      </c>
      <c r="O179">
        <v>6030.07</v>
      </c>
    </row>
    <row r="180" spans="1:15">
      <c r="A180" s="101">
        <v>37133</v>
      </c>
      <c r="B180" s="113">
        <f t="shared" si="14"/>
        <v>32.307600000000001</v>
      </c>
      <c r="C180" s="113">
        <f t="shared" si="15"/>
        <v>10600.81</v>
      </c>
      <c r="D180" s="74">
        <f t="shared" si="16"/>
        <v>356.29300000000001</v>
      </c>
      <c r="E180" s="74">
        <f t="shared" si="17"/>
        <v>44.683210547108033</v>
      </c>
      <c r="F180" s="113">
        <f t="shared" si="18"/>
        <v>0</v>
      </c>
      <c r="G180" s="115">
        <f t="shared" si="19"/>
        <v>3.1100047947596465E-4</v>
      </c>
      <c r="H180" s="114">
        <f t="shared" si="20"/>
        <v>6030.07</v>
      </c>
      <c r="K180" s="117">
        <v>37163</v>
      </c>
      <c r="L180">
        <v>32.365299999999998</v>
      </c>
      <c r="M180">
        <v>10566160</v>
      </c>
      <c r="N180">
        <v>355762.5</v>
      </c>
      <c r="O180">
        <v>6080.75</v>
      </c>
    </row>
    <row r="181" spans="1:15">
      <c r="A181" s="101">
        <v>37163</v>
      </c>
      <c r="B181" s="113">
        <f t="shared" si="14"/>
        <v>32.365299999999998</v>
      </c>
      <c r="C181" s="113">
        <f t="shared" si="15"/>
        <v>10566.16</v>
      </c>
      <c r="D181" s="74">
        <f t="shared" si="16"/>
        <v>355.76249999999999</v>
      </c>
      <c r="E181" s="74">
        <f t="shared" si="17"/>
        <v>45.058752640405032</v>
      </c>
      <c r="F181" s="113">
        <f t="shared" si="18"/>
        <v>1120.4579924999882</v>
      </c>
      <c r="G181" s="115">
        <f t="shared" si="19"/>
        <v>1.1668241497356802</v>
      </c>
      <c r="H181" s="114">
        <f t="shared" si="20"/>
        <v>6080.75</v>
      </c>
      <c r="K181" s="117">
        <v>37194</v>
      </c>
      <c r="L181">
        <v>32.595999999999997</v>
      </c>
      <c r="M181">
        <v>10566160</v>
      </c>
      <c r="N181">
        <v>358298.3</v>
      </c>
      <c r="O181">
        <v>6124.09</v>
      </c>
    </row>
    <row r="182" spans="1:15">
      <c r="A182" s="101">
        <v>37194</v>
      </c>
      <c r="B182" s="113">
        <f t="shared" si="14"/>
        <v>32.595999999999997</v>
      </c>
      <c r="C182" s="113">
        <f t="shared" si="15"/>
        <v>10566.16</v>
      </c>
      <c r="D182" s="74">
        <f t="shared" si="16"/>
        <v>358.29829999999998</v>
      </c>
      <c r="E182" s="74">
        <f t="shared" si="17"/>
        <v>45.379904856732814</v>
      </c>
      <c r="F182" s="113">
        <f t="shared" si="18"/>
        <v>0</v>
      </c>
      <c r="G182" s="115">
        <f t="shared" si="19"/>
        <v>7.6656480828329876E-5</v>
      </c>
      <c r="H182" s="114">
        <f t="shared" si="20"/>
        <v>6124.09</v>
      </c>
      <c r="K182" s="117">
        <v>37224</v>
      </c>
      <c r="L182">
        <v>34.335799999999999</v>
      </c>
      <c r="M182">
        <v>10566160</v>
      </c>
      <c r="N182">
        <v>377423</v>
      </c>
      <c r="O182">
        <v>6450.97</v>
      </c>
    </row>
    <row r="183" spans="1:15">
      <c r="A183" s="101">
        <v>37224</v>
      </c>
      <c r="B183" s="113">
        <f t="shared" si="14"/>
        <v>34.335799999999999</v>
      </c>
      <c r="C183" s="113">
        <f t="shared" si="15"/>
        <v>10566.16</v>
      </c>
      <c r="D183" s="74">
        <f t="shared" si="16"/>
        <v>377.423</v>
      </c>
      <c r="E183" s="74">
        <f t="shared" si="17"/>
        <v>47.802106898108569</v>
      </c>
      <c r="F183" s="113">
        <f t="shared" si="18"/>
        <v>0</v>
      </c>
      <c r="G183" s="115">
        <f t="shared" si="19"/>
        <v>-6.5464658238667539E-4</v>
      </c>
      <c r="H183" s="114">
        <f t="shared" si="20"/>
        <v>6450.97</v>
      </c>
      <c r="K183" s="117">
        <v>37254</v>
      </c>
      <c r="L183">
        <v>33.691800000000001</v>
      </c>
      <c r="M183">
        <v>10566160</v>
      </c>
      <c r="N183">
        <v>370343.7</v>
      </c>
      <c r="O183">
        <v>6374.65</v>
      </c>
    </row>
    <row r="184" spans="1:15">
      <c r="A184" s="101">
        <v>37254</v>
      </c>
      <c r="B184" s="113">
        <f t="shared" si="14"/>
        <v>33.691800000000001</v>
      </c>
      <c r="C184" s="113">
        <f t="shared" si="15"/>
        <v>10566.16</v>
      </c>
      <c r="D184" s="74">
        <f t="shared" si="16"/>
        <v>370.34370000000001</v>
      </c>
      <c r="E184" s="74">
        <f t="shared" si="17"/>
        <v>47.236570738668412</v>
      </c>
      <c r="F184" s="113">
        <f t="shared" si="18"/>
        <v>0</v>
      </c>
      <c r="G184" s="115">
        <f t="shared" si="19"/>
        <v>3.7910693794351857E-4</v>
      </c>
      <c r="H184" s="114">
        <f t="shared" si="20"/>
        <v>6374.65</v>
      </c>
      <c r="K184" s="117">
        <v>37286</v>
      </c>
      <c r="L184">
        <v>31.480899999999998</v>
      </c>
      <c r="M184">
        <v>10566160</v>
      </c>
      <c r="N184">
        <v>346041.7</v>
      </c>
      <c r="O184">
        <v>5956.34</v>
      </c>
    </row>
    <row r="185" spans="1:15">
      <c r="A185" s="101">
        <v>37286</v>
      </c>
      <c r="B185" s="113">
        <f t="shared" si="14"/>
        <v>31.480899999999998</v>
      </c>
      <c r="C185" s="113">
        <f t="shared" si="15"/>
        <v>10566.16</v>
      </c>
      <c r="D185" s="74">
        <f t="shared" si="16"/>
        <v>346.04169999999999</v>
      </c>
      <c r="E185" s="74">
        <f t="shared" si="17"/>
        <v>44.136866455971742</v>
      </c>
      <c r="F185" s="113">
        <f t="shared" si="18"/>
        <v>0</v>
      </c>
      <c r="G185" s="115">
        <f t="shared" si="19"/>
        <v>-4.3816982175570729E-4</v>
      </c>
      <c r="H185" s="114">
        <f t="shared" si="20"/>
        <v>5956.34</v>
      </c>
      <c r="K185" s="117">
        <v>37314</v>
      </c>
      <c r="L185">
        <v>31.596299999999999</v>
      </c>
      <c r="M185">
        <v>10423420</v>
      </c>
      <c r="N185">
        <v>342617.8</v>
      </c>
      <c r="O185">
        <v>6023.1</v>
      </c>
    </row>
    <row r="186" spans="1:15">
      <c r="A186" s="101">
        <v>37314</v>
      </c>
      <c r="B186" s="113">
        <f t="shared" si="14"/>
        <v>31.596299999999999</v>
      </c>
      <c r="C186" s="113">
        <f t="shared" si="15"/>
        <v>10423.42</v>
      </c>
      <c r="D186" s="74">
        <f t="shared" si="16"/>
        <v>342.61779999999999</v>
      </c>
      <c r="E186" s="74">
        <f t="shared" si="17"/>
        <v>44.631562394182232</v>
      </c>
      <c r="F186" s="113">
        <f t="shared" si="18"/>
        <v>4501.8197639999926</v>
      </c>
      <c r="G186" s="115">
        <f t="shared" si="19"/>
        <v>4.6923901695949128</v>
      </c>
      <c r="H186" s="114">
        <f t="shared" si="20"/>
        <v>6023.1</v>
      </c>
      <c r="K186" s="117">
        <v>37345</v>
      </c>
      <c r="L186">
        <v>33.432299999999998</v>
      </c>
      <c r="M186">
        <v>10398400</v>
      </c>
      <c r="N186">
        <v>361656.2</v>
      </c>
      <c r="O186">
        <v>6373.09</v>
      </c>
    </row>
    <row r="187" spans="1:15">
      <c r="A187" s="101">
        <v>37345</v>
      </c>
      <c r="B187" s="113">
        <f t="shared" si="14"/>
        <v>33.432299999999998</v>
      </c>
      <c r="C187" s="113">
        <f t="shared" si="15"/>
        <v>10398.4</v>
      </c>
      <c r="D187" s="74">
        <f t="shared" si="16"/>
        <v>361.65620000000001</v>
      </c>
      <c r="E187" s="74">
        <f t="shared" si="17"/>
        <v>47.22501103729622</v>
      </c>
      <c r="F187" s="113">
        <f t="shared" si="18"/>
        <v>813.50778600001411</v>
      </c>
      <c r="G187" s="115">
        <f t="shared" si="19"/>
        <v>0.87045897399375249</v>
      </c>
      <c r="H187" s="114">
        <f t="shared" si="20"/>
        <v>6373.09</v>
      </c>
      <c r="K187" s="117">
        <v>37373</v>
      </c>
      <c r="L187">
        <v>33.249600000000001</v>
      </c>
      <c r="M187">
        <v>10398400</v>
      </c>
      <c r="N187">
        <v>359680.4</v>
      </c>
      <c r="O187">
        <v>6338.27</v>
      </c>
    </row>
    <row r="188" spans="1:15">
      <c r="A188" s="101">
        <v>37373</v>
      </c>
      <c r="B188" s="113">
        <f t="shared" si="14"/>
        <v>33.249600000000001</v>
      </c>
      <c r="C188" s="113">
        <f t="shared" si="15"/>
        <v>10398.4</v>
      </c>
      <c r="D188" s="74">
        <f t="shared" si="16"/>
        <v>359.68040000000002</v>
      </c>
      <c r="E188" s="74">
        <f t="shared" si="17"/>
        <v>46.966992574616633</v>
      </c>
      <c r="F188" s="113">
        <f t="shared" si="18"/>
        <v>0</v>
      </c>
      <c r="G188" s="115">
        <f t="shared" si="19"/>
        <v>-5.6979029258030778E-4</v>
      </c>
      <c r="H188" s="114">
        <f t="shared" si="20"/>
        <v>6338.27</v>
      </c>
      <c r="K188" s="117">
        <v>37406</v>
      </c>
      <c r="L188">
        <v>32.932400000000001</v>
      </c>
      <c r="M188">
        <v>10398400</v>
      </c>
      <c r="N188">
        <v>356249</v>
      </c>
      <c r="O188">
        <v>6277.8</v>
      </c>
    </row>
    <row r="189" spans="1:15">
      <c r="A189" s="101">
        <v>37406</v>
      </c>
      <c r="B189" s="113">
        <f t="shared" si="14"/>
        <v>32.932400000000001</v>
      </c>
      <c r="C189" s="113">
        <f t="shared" si="15"/>
        <v>10398.4</v>
      </c>
      <c r="D189" s="74">
        <f t="shared" si="16"/>
        <v>356.24900000000002</v>
      </c>
      <c r="E189" s="74">
        <f t="shared" si="17"/>
        <v>46.51890594514407</v>
      </c>
      <c r="F189" s="113">
        <f t="shared" si="18"/>
        <v>0</v>
      </c>
      <c r="G189" s="115">
        <f t="shared" si="19"/>
        <v>6.1792021557760535E-5</v>
      </c>
      <c r="H189" s="114">
        <f t="shared" si="20"/>
        <v>6277.8</v>
      </c>
      <c r="K189" s="117">
        <v>37436</v>
      </c>
      <c r="L189">
        <v>31.6828</v>
      </c>
      <c r="M189">
        <v>10323360</v>
      </c>
      <c r="N189">
        <v>340257.8</v>
      </c>
      <c r="O189">
        <v>6085.02</v>
      </c>
    </row>
    <row r="190" spans="1:15">
      <c r="A190" s="101">
        <v>37436</v>
      </c>
      <c r="B190" s="113">
        <f t="shared" si="14"/>
        <v>31.6828</v>
      </c>
      <c r="C190" s="113">
        <f t="shared" si="15"/>
        <v>10323.36</v>
      </c>
      <c r="D190" s="74">
        <f t="shared" si="16"/>
        <v>340.25779999999997</v>
      </c>
      <c r="E190" s="74">
        <f t="shared" si="17"/>
        <v>45.090393617878966</v>
      </c>
      <c r="F190" s="113">
        <f t="shared" si="18"/>
        <v>2424.3623039999693</v>
      </c>
      <c r="G190" s="115">
        <f t="shared" si="19"/>
        <v>2.4735471596361371</v>
      </c>
      <c r="H190" s="114">
        <f t="shared" si="20"/>
        <v>6085.02</v>
      </c>
      <c r="K190" s="117">
        <v>37467</v>
      </c>
      <c r="L190">
        <v>31.423200000000001</v>
      </c>
      <c r="M190">
        <v>10323360</v>
      </c>
      <c r="N190">
        <v>337470.4</v>
      </c>
      <c r="O190">
        <v>6035.17</v>
      </c>
    </row>
    <row r="191" spans="1:15">
      <c r="A191" s="101">
        <v>37467</v>
      </c>
      <c r="B191" s="113">
        <f t="shared" si="14"/>
        <v>31.423200000000001</v>
      </c>
      <c r="C191" s="113">
        <f t="shared" si="15"/>
        <v>10323.36</v>
      </c>
      <c r="D191" s="74">
        <f t="shared" si="16"/>
        <v>337.47040000000004</v>
      </c>
      <c r="E191" s="74">
        <f t="shared" si="17"/>
        <v>44.721001878517171</v>
      </c>
      <c r="F191" s="113">
        <f t="shared" si="18"/>
        <v>0</v>
      </c>
      <c r="G191" s="115">
        <f t="shared" si="19"/>
        <v>-5.772267603294523E-4</v>
      </c>
      <c r="H191" s="114">
        <f t="shared" si="20"/>
        <v>6035.17</v>
      </c>
      <c r="K191" s="117">
        <v>37498</v>
      </c>
      <c r="L191">
        <v>32.740200000000002</v>
      </c>
      <c r="M191">
        <v>10323360</v>
      </c>
      <c r="N191">
        <v>351613.5</v>
      </c>
      <c r="O191">
        <v>6288.1</v>
      </c>
    </row>
    <row r="192" spans="1:15">
      <c r="A192" s="101">
        <v>37498</v>
      </c>
      <c r="B192" s="113">
        <f t="shared" si="14"/>
        <v>32.740200000000002</v>
      </c>
      <c r="C192" s="113">
        <f t="shared" si="15"/>
        <v>10323.36</v>
      </c>
      <c r="D192" s="74">
        <f t="shared" si="16"/>
        <v>351.61349999999999</v>
      </c>
      <c r="E192" s="74">
        <f t="shared" si="17"/>
        <v>46.595229614460543</v>
      </c>
      <c r="F192" s="113">
        <f t="shared" si="18"/>
        <v>0</v>
      </c>
      <c r="G192" s="115">
        <f t="shared" si="19"/>
        <v>8.6104788826979473E-4</v>
      </c>
      <c r="H192" s="114">
        <f t="shared" si="20"/>
        <v>6288.1</v>
      </c>
      <c r="K192" s="117">
        <v>37527</v>
      </c>
      <c r="L192">
        <v>33.932099999999998</v>
      </c>
      <c r="M192">
        <v>10323360</v>
      </c>
      <c r="N192">
        <v>364414.4</v>
      </c>
      <c r="O192">
        <v>6564.33</v>
      </c>
    </row>
    <row r="193" spans="1:15">
      <c r="A193" s="101">
        <v>37527</v>
      </c>
      <c r="B193" s="113">
        <f t="shared" si="14"/>
        <v>33.932099999999998</v>
      </c>
      <c r="C193" s="113">
        <f t="shared" si="15"/>
        <v>10323.36</v>
      </c>
      <c r="D193" s="74">
        <f t="shared" si="16"/>
        <v>364.4144</v>
      </c>
      <c r="E193" s="74">
        <f t="shared" si="17"/>
        <v>48.642111864488754</v>
      </c>
      <c r="F193" s="113">
        <f t="shared" si="18"/>
        <v>0</v>
      </c>
      <c r="G193" s="115">
        <f t="shared" si="19"/>
        <v>-4.8550497558075278E-4</v>
      </c>
      <c r="H193" s="114">
        <f t="shared" si="20"/>
        <v>6564.33</v>
      </c>
      <c r="K193" s="117">
        <v>37559</v>
      </c>
      <c r="L193">
        <v>33.749499999999998</v>
      </c>
      <c r="M193">
        <v>10308100</v>
      </c>
      <c r="N193">
        <v>361917.3</v>
      </c>
      <c r="O193">
        <v>6529</v>
      </c>
    </row>
    <row r="194" spans="1:15">
      <c r="A194" s="101">
        <v>37559</v>
      </c>
      <c r="B194" s="113">
        <f t="shared" si="14"/>
        <v>33.749499999999998</v>
      </c>
      <c r="C194" s="113">
        <f t="shared" si="15"/>
        <v>10308.1</v>
      </c>
      <c r="D194" s="74">
        <f t="shared" si="16"/>
        <v>361.91730000000001</v>
      </c>
      <c r="E194" s="74">
        <f t="shared" si="17"/>
        <v>48.380314268668258</v>
      </c>
      <c r="F194" s="113">
        <f t="shared" si="18"/>
        <v>516.41060800000741</v>
      </c>
      <c r="G194" s="115">
        <f t="shared" si="19"/>
        <v>0.53606400635385687</v>
      </c>
      <c r="H194" s="114">
        <f t="shared" si="20"/>
        <v>6529</v>
      </c>
      <c r="K194" s="117">
        <v>37589</v>
      </c>
      <c r="L194">
        <v>33.9129</v>
      </c>
      <c r="M194">
        <v>10308100</v>
      </c>
      <c r="N194">
        <v>363669.8</v>
      </c>
      <c r="O194">
        <v>6560.61</v>
      </c>
    </row>
    <row r="195" spans="1:15">
      <c r="A195" s="101">
        <v>37589</v>
      </c>
      <c r="B195" s="113">
        <f t="shared" si="14"/>
        <v>33.9129</v>
      </c>
      <c r="C195" s="113">
        <f t="shared" si="15"/>
        <v>10308.1</v>
      </c>
      <c r="D195" s="74">
        <f t="shared" si="16"/>
        <v>363.66980000000001</v>
      </c>
      <c r="E195" s="74">
        <f t="shared" si="17"/>
        <v>48.614546422755041</v>
      </c>
      <c r="F195" s="113">
        <f t="shared" si="18"/>
        <v>0</v>
      </c>
      <c r="G195" s="115">
        <f t="shared" si="19"/>
        <v>-2.5813508343852654E-4</v>
      </c>
      <c r="H195" s="114">
        <f t="shared" si="20"/>
        <v>6560.61</v>
      </c>
      <c r="K195" s="117">
        <v>37618</v>
      </c>
      <c r="L195">
        <v>35.768099999999997</v>
      </c>
      <c r="M195">
        <v>10308100</v>
      </c>
      <c r="N195">
        <v>383564.3</v>
      </c>
      <c r="O195">
        <v>6970.81</v>
      </c>
    </row>
    <row r="196" spans="1:15">
      <c r="A196" s="101">
        <v>37618</v>
      </c>
      <c r="B196" s="113">
        <f t="shared" si="14"/>
        <v>35.768099999999997</v>
      </c>
      <c r="C196" s="113">
        <f t="shared" si="15"/>
        <v>10308.1</v>
      </c>
      <c r="D196" s="74">
        <f t="shared" si="16"/>
        <v>383.5643</v>
      </c>
      <c r="E196" s="74">
        <f t="shared" si="17"/>
        <v>51.65415507844623</v>
      </c>
      <c r="F196" s="113">
        <f t="shared" si="18"/>
        <v>0</v>
      </c>
      <c r="G196" s="115">
        <f t="shared" si="19"/>
        <v>7.050414438936059E-7</v>
      </c>
      <c r="H196" s="114">
        <f t="shared" si="20"/>
        <v>6970.81</v>
      </c>
      <c r="K196" s="117">
        <v>37651</v>
      </c>
      <c r="L196">
        <v>34.652999999999999</v>
      </c>
      <c r="M196">
        <v>10308100</v>
      </c>
      <c r="N196">
        <v>371606.9</v>
      </c>
      <c r="O196">
        <v>6753.5</v>
      </c>
    </row>
    <row r="197" spans="1:15">
      <c r="A197" s="101">
        <v>37651</v>
      </c>
      <c r="B197" s="113">
        <f t="shared" ref="B197:B260" si="21">L196</f>
        <v>34.652999999999999</v>
      </c>
      <c r="C197" s="113">
        <f t="shared" ref="C197:C260" si="22">M196/1000</f>
        <v>10308.1</v>
      </c>
      <c r="D197" s="74">
        <f t="shared" ref="D197:D260" si="23">N196/1000</f>
        <v>371.6069</v>
      </c>
      <c r="E197" s="74">
        <f t="shared" ref="E197:E260" si="24">H197/H196*E196</f>
        <v>50.043873857168194</v>
      </c>
      <c r="F197" s="113">
        <f t="shared" ref="F197:F260" si="25">-(C197-C196)*(B196+B197)/2</f>
        <v>0</v>
      </c>
      <c r="G197" s="115">
        <f t="shared" ref="G197:G260" si="26">-((D197-D196)-D196*(B197/B196-1))</f>
        <v>-5.3321227571245799E-4</v>
      </c>
      <c r="H197" s="114">
        <f t="shared" ref="H197:H260" si="27">O196</f>
        <v>6753.5</v>
      </c>
      <c r="K197" s="117">
        <v>37679</v>
      </c>
      <c r="L197">
        <v>33.557200000000002</v>
      </c>
      <c r="M197">
        <v>10283130</v>
      </c>
      <c r="N197">
        <v>358983.9</v>
      </c>
      <c r="O197">
        <v>6591.66</v>
      </c>
    </row>
    <row r="198" spans="1:15">
      <c r="A198" s="101">
        <v>37679</v>
      </c>
      <c r="B198" s="113">
        <f t="shared" si="21"/>
        <v>33.557200000000002</v>
      </c>
      <c r="C198" s="113">
        <f t="shared" si="22"/>
        <v>10283.129999999999</v>
      </c>
      <c r="D198" s="74">
        <f t="shared" si="23"/>
        <v>358.98390000000001</v>
      </c>
      <c r="E198" s="74">
        <f t="shared" si="24"/>
        <v>48.844628940451805</v>
      </c>
      <c r="F198" s="113">
        <f t="shared" si="25"/>
        <v>851.60434700003975</v>
      </c>
      <c r="G198" s="115">
        <f t="shared" si="26"/>
        <v>0.87201621735493084</v>
      </c>
      <c r="H198" s="114">
        <f t="shared" si="27"/>
        <v>6591.66</v>
      </c>
      <c r="K198" s="117">
        <v>37709</v>
      </c>
      <c r="L198">
        <v>33.989800000000002</v>
      </c>
      <c r="M198">
        <v>10283130</v>
      </c>
      <c r="N198">
        <v>363611.3</v>
      </c>
      <c r="O198">
        <v>6676.63</v>
      </c>
    </row>
    <row r="199" spans="1:15">
      <c r="A199" s="101">
        <v>37709</v>
      </c>
      <c r="B199" s="113">
        <f t="shared" si="21"/>
        <v>33.989800000000002</v>
      </c>
      <c r="C199" s="113">
        <f t="shared" si="22"/>
        <v>10283.129999999999</v>
      </c>
      <c r="D199" s="74">
        <f t="shared" si="23"/>
        <v>363.61129999999997</v>
      </c>
      <c r="E199" s="74">
        <f t="shared" si="24"/>
        <v>49.474262161987838</v>
      </c>
      <c r="F199" s="113">
        <f t="shared" si="25"/>
        <v>0</v>
      </c>
      <c r="G199" s="115">
        <f t="shared" si="26"/>
        <v>4.1266434626852089E-4</v>
      </c>
      <c r="H199" s="114">
        <f t="shared" si="27"/>
        <v>6676.63</v>
      </c>
      <c r="K199" s="117">
        <v>37740</v>
      </c>
      <c r="L199">
        <v>35.431699999999999</v>
      </c>
      <c r="M199">
        <v>10288160</v>
      </c>
      <c r="N199">
        <v>379221.3</v>
      </c>
      <c r="O199">
        <v>6959.86</v>
      </c>
    </row>
    <row r="200" spans="1:15">
      <c r="A200" s="101">
        <v>37740</v>
      </c>
      <c r="B200" s="113">
        <f t="shared" si="21"/>
        <v>35.431699999999999</v>
      </c>
      <c r="C200" s="113">
        <f t="shared" si="22"/>
        <v>10288.16</v>
      </c>
      <c r="D200" s="74">
        <f t="shared" si="23"/>
        <v>379.22129999999999</v>
      </c>
      <c r="E200" s="74">
        <f t="shared" si="24"/>
        <v>51.573014866891334</v>
      </c>
      <c r="F200" s="113">
        <f t="shared" si="25"/>
        <v>-174.59507250002275</v>
      </c>
      <c r="G200" s="115">
        <f t="shared" si="26"/>
        <v>-0.18504505851758069</v>
      </c>
      <c r="H200" s="114">
        <f t="shared" si="27"/>
        <v>6959.86</v>
      </c>
      <c r="K200" s="117">
        <v>37771</v>
      </c>
      <c r="L200">
        <v>36.123699999999999</v>
      </c>
      <c r="M200">
        <v>10288160</v>
      </c>
      <c r="N200">
        <v>386628.7</v>
      </c>
      <c r="O200">
        <v>7095.8</v>
      </c>
    </row>
    <row r="201" spans="1:15">
      <c r="A201" s="101">
        <v>37771</v>
      </c>
      <c r="B201" s="113">
        <f t="shared" si="21"/>
        <v>36.123699999999999</v>
      </c>
      <c r="C201" s="113">
        <f t="shared" si="22"/>
        <v>10288.16</v>
      </c>
      <c r="D201" s="74">
        <f t="shared" si="23"/>
        <v>386.62870000000004</v>
      </c>
      <c r="E201" s="74">
        <f t="shared" si="24"/>
        <v>52.580339100569198</v>
      </c>
      <c r="F201" s="113">
        <f t="shared" si="25"/>
        <v>0</v>
      </c>
      <c r="G201" s="115">
        <f t="shared" si="26"/>
        <v>-1.0057372353822203E-3</v>
      </c>
      <c r="H201" s="114">
        <f t="shared" si="27"/>
        <v>7095.8</v>
      </c>
      <c r="K201" s="117">
        <v>37800</v>
      </c>
      <c r="L201">
        <v>36.796599999999998</v>
      </c>
      <c r="M201">
        <v>10288160</v>
      </c>
      <c r="N201">
        <v>393830.6</v>
      </c>
      <c r="O201">
        <v>7280.14</v>
      </c>
    </row>
    <row r="202" spans="1:15">
      <c r="A202" s="101">
        <v>37800</v>
      </c>
      <c r="B202" s="113">
        <f t="shared" si="21"/>
        <v>36.796599999999998</v>
      </c>
      <c r="C202" s="113">
        <f t="shared" si="22"/>
        <v>10288.16</v>
      </c>
      <c r="D202" s="74">
        <f t="shared" si="23"/>
        <v>393.8306</v>
      </c>
      <c r="E202" s="74">
        <f t="shared" si="24"/>
        <v>53.946310479384678</v>
      </c>
      <c r="F202" s="113">
        <f t="shared" si="25"/>
        <v>0</v>
      </c>
      <c r="G202" s="115">
        <f t="shared" si="26"/>
        <v>8.795333808908623E-5</v>
      </c>
      <c r="H202" s="114">
        <f t="shared" si="27"/>
        <v>7280.14</v>
      </c>
      <c r="K202" s="117">
        <v>37832</v>
      </c>
      <c r="L202">
        <v>37.258000000000003</v>
      </c>
      <c r="M202">
        <v>10246170</v>
      </c>
      <c r="N202">
        <v>397141.4</v>
      </c>
      <c r="O202">
        <v>7371.43</v>
      </c>
    </row>
    <row r="203" spans="1:15">
      <c r="A203" s="101">
        <v>37832</v>
      </c>
      <c r="B203" s="113">
        <f t="shared" si="21"/>
        <v>37.258000000000003</v>
      </c>
      <c r="C203" s="113">
        <f t="shared" si="22"/>
        <v>10246.17</v>
      </c>
      <c r="D203" s="74">
        <f t="shared" si="23"/>
        <v>397.14140000000003</v>
      </c>
      <c r="E203" s="74">
        <f t="shared" si="24"/>
        <v>54.622775311608095</v>
      </c>
      <c r="F203" s="113">
        <f t="shared" si="25"/>
        <v>1554.7763269999919</v>
      </c>
      <c r="G203" s="115">
        <f t="shared" si="26"/>
        <v>1.6275214438290826</v>
      </c>
      <c r="H203" s="114">
        <f t="shared" si="27"/>
        <v>7371.43</v>
      </c>
      <c r="K203" s="117">
        <v>37863</v>
      </c>
      <c r="L203">
        <v>37.363799999999998</v>
      </c>
      <c r="M203">
        <v>10246170</v>
      </c>
      <c r="N203">
        <v>398268.5</v>
      </c>
      <c r="O203">
        <v>7392.35</v>
      </c>
    </row>
    <row r="204" spans="1:15">
      <c r="A204" s="101">
        <v>37863</v>
      </c>
      <c r="B204" s="113">
        <f t="shared" si="21"/>
        <v>37.363799999999998</v>
      </c>
      <c r="C204" s="113">
        <f t="shared" si="22"/>
        <v>10246.17</v>
      </c>
      <c r="D204" s="74">
        <f t="shared" si="23"/>
        <v>398.26850000000002</v>
      </c>
      <c r="E204" s="74">
        <f t="shared" si="24"/>
        <v>54.77779387103535</v>
      </c>
      <c r="F204" s="113">
        <f t="shared" si="25"/>
        <v>0</v>
      </c>
      <c r="G204" s="115">
        <f t="shared" si="26"/>
        <v>6.4599065970893932E-4</v>
      </c>
      <c r="H204" s="114">
        <f t="shared" si="27"/>
        <v>7392.35</v>
      </c>
      <c r="K204" s="117">
        <v>37891</v>
      </c>
      <c r="L204">
        <v>39.795699999999997</v>
      </c>
      <c r="M204">
        <v>10246170</v>
      </c>
      <c r="N204">
        <v>424191.3</v>
      </c>
      <c r="O204">
        <v>7926.96</v>
      </c>
    </row>
    <row r="205" spans="1:15">
      <c r="A205" s="101">
        <v>37891</v>
      </c>
      <c r="B205" s="113">
        <f t="shared" si="21"/>
        <v>39.795699999999997</v>
      </c>
      <c r="C205" s="113">
        <f t="shared" si="22"/>
        <v>10246.17</v>
      </c>
      <c r="D205" s="74">
        <f t="shared" si="23"/>
        <v>424.19130000000001</v>
      </c>
      <c r="E205" s="74">
        <f t="shared" si="24"/>
        <v>58.739288711159837</v>
      </c>
      <c r="F205" s="113">
        <f t="shared" si="25"/>
        <v>0</v>
      </c>
      <c r="G205" s="115">
        <f t="shared" si="26"/>
        <v>-6.7309775768720215E-4</v>
      </c>
      <c r="H205" s="114">
        <f t="shared" si="27"/>
        <v>7926.96</v>
      </c>
      <c r="K205" s="117">
        <v>37924</v>
      </c>
      <c r="L205">
        <v>39.564999999999998</v>
      </c>
      <c r="M205">
        <v>10106210</v>
      </c>
      <c r="N205">
        <v>415971.3</v>
      </c>
      <c r="O205">
        <v>7881.01</v>
      </c>
    </row>
    <row r="206" spans="1:15">
      <c r="A206" s="101">
        <v>37924</v>
      </c>
      <c r="B206" s="113">
        <f t="shared" si="21"/>
        <v>39.564999999999998</v>
      </c>
      <c r="C206" s="113">
        <f t="shared" si="22"/>
        <v>10106.209999999999</v>
      </c>
      <c r="D206" s="74">
        <f t="shared" si="23"/>
        <v>415.97129999999999</v>
      </c>
      <c r="E206" s="74">
        <f t="shared" si="24"/>
        <v>58.398796225228566</v>
      </c>
      <c r="F206" s="113">
        <f t="shared" si="25"/>
        <v>5553.661786000037</v>
      </c>
      <c r="G206" s="115">
        <f t="shared" si="26"/>
        <v>5.7609169103697617</v>
      </c>
      <c r="H206" s="114">
        <f t="shared" si="27"/>
        <v>7881.01</v>
      </c>
      <c r="K206" s="117">
        <v>37954</v>
      </c>
      <c r="L206">
        <v>36.806199999999997</v>
      </c>
      <c r="M206">
        <v>10106210</v>
      </c>
      <c r="N206">
        <v>386966.6</v>
      </c>
      <c r="O206">
        <v>7331.48</v>
      </c>
    </row>
    <row r="207" spans="1:15">
      <c r="A207" s="101">
        <v>37954</v>
      </c>
      <c r="B207" s="113">
        <f t="shared" si="21"/>
        <v>36.806199999999997</v>
      </c>
      <c r="C207" s="113">
        <f t="shared" si="22"/>
        <v>10106.209999999999</v>
      </c>
      <c r="D207" s="74">
        <f t="shared" si="23"/>
        <v>386.96659999999997</v>
      </c>
      <c r="E207" s="74">
        <f t="shared" si="24"/>
        <v>54.32674321556992</v>
      </c>
      <c r="F207" s="113">
        <f t="shared" si="25"/>
        <v>0</v>
      </c>
      <c r="G207" s="115">
        <f t="shared" si="26"/>
        <v>-2.6960545935494906E-4</v>
      </c>
      <c r="H207" s="114">
        <f t="shared" si="27"/>
        <v>7331.48</v>
      </c>
      <c r="K207" s="117">
        <v>37985</v>
      </c>
      <c r="L207">
        <v>35.633499999999998</v>
      </c>
      <c r="M207">
        <v>10106210</v>
      </c>
      <c r="N207">
        <v>374636.9</v>
      </c>
      <c r="O207">
        <v>7158.14</v>
      </c>
    </row>
    <row r="208" spans="1:15">
      <c r="A208" s="101">
        <v>37985</v>
      </c>
      <c r="B208" s="113">
        <f t="shared" si="21"/>
        <v>35.633499999999998</v>
      </c>
      <c r="C208" s="113">
        <f t="shared" si="22"/>
        <v>10106.209999999999</v>
      </c>
      <c r="D208" s="74">
        <f t="shared" si="23"/>
        <v>374.63690000000003</v>
      </c>
      <c r="E208" s="74">
        <f t="shared" si="24"/>
        <v>53.042282551558444</v>
      </c>
      <c r="F208" s="113">
        <f t="shared" si="25"/>
        <v>0</v>
      </c>
      <c r="G208" s="115">
        <f t="shared" si="26"/>
        <v>3.7146785048314257E-4</v>
      </c>
      <c r="H208" s="114">
        <f t="shared" si="27"/>
        <v>7158.14</v>
      </c>
      <c r="K208" s="117">
        <v>38016</v>
      </c>
      <c r="L208">
        <v>33.989800000000002</v>
      </c>
      <c r="M208">
        <v>10106210</v>
      </c>
      <c r="N208">
        <v>357355.3</v>
      </c>
      <c r="O208">
        <v>6827.94</v>
      </c>
    </row>
    <row r="209" spans="1:15">
      <c r="A209" s="101">
        <v>38016</v>
      </c>
      <c r="B209" s="113">
        <f t="shared" si="21"/>
        <v>33.989800000000002</v>
      </c>
      <c r="C209" s="113">
        <f t="shared" si="22"/>
        <v>10106.209999999999</v>
      </c>
      <c r="D209" s="74">
        <f t="shared" si="23"/>
        <v>357.3553</v>
      </c>
      <c r="E209" s="74">
        <f t="shared" si="24"/>
        <v>50.595479094441842</v>
      </c>
      <c r="F209" s="113">
        <f t="shared" si="25"/>
        <v>0</v>
      </c>
      <c r="G209" s="115">
        <f t="shared" si="26"/>
        <v>3.7102922820153594E-4</v>
      </c>
      <c r="H209" s="114">
        <f t="shared" si="27"/>
        <v>6827.94</v>
      </c>
      <c r="K209" s="117">
        <v>38045</v>
      </c>
      <c r="L209">
        <v>31.855799999999999</v>
      </c>
      <c r="M209">
        <v>9985666</v>
      </c>
      <c r="N209">
        <v>330924.90000000002</v>
      </c>
      <c r="O209">
        <v>6458.15</v>
      </c>
    </row>
    <row r="210" spans="1:15">
      <c r="A210" s="101">
        <v>38045</v>
      </c>
      <c r="B210" s="113">
        <f t="shared" si="21"/>
        <v>31.855799999999999</v>
      </c>
      <c r="C210" s="113">
        <f t="shared" si="22"/>
        <v>9985.6659999999993</v>
      </c>
      <c r="D210" s="74">
        <f t="shared" si="23"/>
        <v>330.92490000000004</v>
      </c>
      <c r="E210" s="74">
        <f t="shared" si="24"/>
        <v>47.85531116468065</v>
      </c>
      <c r="F210" s="113">
        <f t="shared" si="25"/>
        <v>3968.6460031999959</v>
      </c>
      <c r="G210" s="115">
        <f t="shared" si="26"/>
        <v>3.994368890667122</v>
      </c>
      <c r="H210" s="114">
        <f t="shared" si="27"/>
        <v>6458.15</v>
      </c>
      <c r="K210" s="117">
        <v>38076</v>
      </c>
      <c r="L210">
        <v>35.575899999999997</v>
      </c>
      <c r="M210">
        <v>9967398</v>
      </c>
      <c r="N210">
        <v>368893.3</v>
      </c>
      <c r="O210">
        <v>7212.31</v>
      </c>
    </row>
    <row r="211" spans="1:15">
      <c r="A211" s="101">
        <v>38076</v>
      </c>
      <c r="B211" s="113">
        <f t="shared" si="21"/>
        <v>35.575899999999997</v>
      </c>
      <c r="C211" s="113">
        <f t="shared" si="22"/>
        <v>9967.3979999999992</v>
      </c>
      <c r="D211" s="74">
        <f t="shared" si="23"/>
        <v>368.89330000000001</v>
      </c>
      <c r="E211" s="74">
        <f t="shared" si="24"/>
        <v>53.443685771643267</v>
      </c>
      <c r="F211" s="113">
        <f t="shared" si="25"/>
        <v>615.92114780000088</v>
      </c>
      <c r="G211" s="115">
        <f t="shared" si="26"/>
        <v>0.67679869191800179</v>
      </c>
      <c r="H211" s="114">
        <f t="shared" si="27"/>
        <v>7212.31</v>
      </c>
      <c r="K211" s="117">
        <v>38106</v>
      </c>
      <c r="L211">
        <v>31.4329</v>
      </c>
      <c r="M211">
        <v>9967398</v>
      </c>
      <c r="N211">
        <v>325933.90000000002</v>
      </c>
      <c r="O211">
        <v>6372.4</v>
      </c>
    </row>
    <row r="212" spans="1:15">
      <c r="A212" s="101">
        <v>38106</v>
      </c>
      <c r="B212" s="113">
        <f t="shared" si="21"/>
        <v>31.4329</v>
      </c>
      <c r="C212" s="113">
        <f t="shared" si="22"/>
        <v>9967.3979999999992</v>
      </c>
      <c r="D212" s="74">
        <f t="shared" si="23"/>
        <v>325.93390000000005</v>
      </c>
      <c r="E212" s="74">
        <f t="shared" si="24"/>
        <v>47.219898092458521</v>
      </c>
      <c r="F212" s="113">
        <f t="shared" si="25"/>
        <v>0</v>
      </c>
      <c r="G212" s="115">
        <f t="shared" si="26"/>
        <v>-1.5806880502111653E-4</v>
      </c>
      <c r="H212" s="114">
        <f t="shared" si="27"/>
        <v>6372.4</v>
      </c>
      <c r="K212" s="117">
        <v>38136</v>
      </c>
      <c r="L212">
        <v>29.529599999999999</v>
      </c>
      <c r="M212">
        <v>9967398</v>
      </c>
      <c r="N212">
        <v>306198.3</v>
      </c>
      <c r="O212">
        <v>5986.55</v>
      </c>
    </row>
    <row r="213" spans="1:15">
      <c r="A213" s="101">
        <v>38136</v>
      </c>
      <c r="B213" s="113">
        <f t="shared" si="21"/>
        <v>29.529599999999999</v>
      </c>
      <c r="C213" s="113">
        <f t="shared" si="22"/>
        <v>9967.3979999999992</v>
      </c>
      <c r="D213" s="74">
        <f t="shared" si="23"/>
        <v>306.19829999999996</v>
      </c>
      <c r="E213" s="74">
        <f t="shared" si="24"/>
        <v>44.360724519083483</v>
      </c>
      <c r="F213" s="113">
        <f t="shared" si="25"/>
        <v>0</v>
      </c>
      <c r="G213" s="115">
        <f t="shared" si="26"/>
        <v>-9.0689373173802323E-5</v>
      </c>
      <c r="H213" s="114">
        <f t="shared" si="27"/>
        <v>5986.55</v>
      </c>
      <c r="K213" s="117">
        <v>38167</v>
      </c>
      <c r="L213">
        <v>25.6557</v>
      </c>
      <c r="M213">
        <v>9948024</v>
      </c>
      <c r="N213">
        <v>265512.59999999998</v>
      </c>
      <c r="O213">
        <v>5258.97</v>
      </c>
    </row>
    <row r="214" spans="1:15">
      <c r="A214" s="101">
        <v>38167</v>
      </c>
      <c r="B214" s="113">
        <f t="shared" si="21"/>
        <v>25.6557</v>
      </c>
      <c r="C214" s="113">
        <f t="shared" si="22"/>
        <v>9948.0239999999994</v>
      </c>
      <c r="D214" s="74">
        <f t="shared" si="23"/>
        <v>265.51259999999996</v>
      </c>
      <c r="E214" s="74">
        <f t="shared" si="24"/>
        <v>38.969309439347285</v>
      </c>
      <c r="F214" s="113">
        <f t="shared" si="25"/>
        <v>534.58000109999432</v>
      </c>
      <c r="G214" s="115">
        <f t="shared" si="26"/>
        <v>0.51645983521618888</v>
      </c>
      <c r="H214" s="114">
        <f t="shared" si="27"/>
        <v>5258.97</v>
      </c>
      <c r="K214" s="117">
        <v>38198</v>
      </c>
      <c r="L214">
        <v>27.1938</v>
      </c>
      <c r="M214">
        <v>9948024</v>
      </c>
      <c r="N214">
        <v>281429.5</v>
      </c>
      <c r="O214">
        <v>5574.24</v>
      </c>
    </row>
    <row r="215" spans="1:15">
      <c r="A215" s="101">
        <v>38198</v>
      </c>
      <c r="B215" s="113">
        <f t="shared" si="21"/>
        <v>27.1938</v>
      </c>
      <c r="C215" s="113">
        <f t="shared" si="22"/>
        <v>9948.0239999999994</v>
      </c>
      <c r="D215" s="74">
        <f t="shared" si="23"/>
        <v>281.42950000000002</v>
      </c>
      <c r="E215" s="74">
        <f t="shared" si="24"/>
        <v>41.305480626279902</v>
      </c>
      <c r="F215" s="113">
        <f t="shared" si="25"/>
        <v>0</v>
      </c>
      <c r="G215" s="115">
        <f t="shared" si="26"/>
        <v>1.0024567639188575E-3</v>
      </c>
      <c r="H215" s="114">
        <f t="shared" si="27"/>
        <v>5574.24</v>
      </c>
      <c r="K215" s="117">
        <v>38227</v>
      </c>
      <c r="L215">
        <v>27.011099999999999</v>
      </c>
      <c r="M215">
        <v>9948024</v>
      </c>
      <c r="N215">
        <v>279539.40000000002</v>
      </c>
      <c r="O215">
        <v>5536.8</v>
      </c>
    </row>
    <row r="216" spans="1:15">
      <c r="A216" s="101">
        <v>38227</v>
      </c>
      <c r="B216" s="113">
        <f t="shared" si="21"/>
        <v>27.011099999999999</v>
      </c>
      <c r="C216" s="113">
        <f t="shared" si="22"/>
        <v>9948.0239999999994</v>
      </c>
      <c r="D216" s="74">
        <f t="shared" si="23"/>
        <v>279.5394</v>
      </c>
      <c r="E216" s="74">
        <f t="shared" si="24"/>
        <v>41.028047793347</v>
      </c>
      <c r="F216" s="113">
        <f t="shared" si="25"/>
        <v>0</v>
      </c>
      <c r="G216" s="115">
        <f t="shared" si="26"/>
        <v>-6.6810339120570994E-4</v>
      </c>
      <c r="H216" s="114">
        <f t="shared" si="27"/>
        <v>5536.8</v>
      </c>
      <c r="K216" s="117">
        <v>38259</v>
      </c>
      <c r="L216">
        <v>24.511900000000001</v>
      </c>
      <c r="M216">
        <v>9955456</v>
      </c>
      <c r="N216">
        <v>253864.1</v>
      </c>
      <c r="O216">
        <v>5087.33</v>
      </c>
    </row>
    <row r="217" spans="1:15">
      <c r="A217" s="101">
        <v>38259</v>
      </c>
      <c r="B217" s="113">
        <f t="shared" si="21"/>
        <v>24.511900000000001</v>
      </c>
      <c r="C217" s="113">
        <f t="shared" si="22"/>
        <v>9955.4560000000001</v>
      </c>
      <c r="D217" s="74">
        <f t="shared" si="23"/>
        <v>253.86410000000001</v>
      </c>
      <c r="E217" s="74">
        <f t="shared" si="24"/>
        <v>37.697445885805514</v>
      </c>
      <c r="F217" s="113">
        <f t="shared" si="25"/>
        <v>-191.45946800001798</v>
      </c>
      <c r="G217" s="115">
        <f t="shared" si="26"/>
        <v>-0.18906200228792969</v>
      </c>
      <c r="H217" s="114">
        <f t="shared" si="27"/>
        <v>5087.33</v>
      </c>
      <c r="K217" s="117">
        <v>38290</v>
      </c>
      <c r="L217">
        <v>18.754000000000001</v>
      </c>
      <c r="M217">
        <v>9955456</v>
      </c>
      <c r="N217">
        <v>194230.9</v>
      </c>
      <c r="O217">
        <v>3892.31</v>
      </c>
    </row>
    <row r="218" spans="1:15">
      <c r="A218" s="101">
        <v>38290</v>
      </c>
      <c r="B218" s="113">
        <f t="shared" si="21"/>
        <v>18.754000000000001</v>
      </c>
      <c r="C218" s="113">
        <f t="shared" si="22"/>
        <v>9955.4560000000001</v>
      </c>
      <c r="D218" s="74">
        <f t="shared" si="23"/>
        <v>194.23089999999999</v>
      </c>
      <c r="E218" s="74">
        <f t="shared" si="24"/>
        <v>28.842270030798016</v>
      </c>
      <c r="F218" s="113">
        <f t="shared" si="25"/>
        <v>0</v>
      </c>
      <c r="G218" s="115">
        <f t="shared" si="26"/>
        <v>-4.3501727695627324E-5</v>
      </c>
      <c r="H218" s="114">
        <f t="shared" si="27"/>
        <v>3892.31</v>
      </c>
      <c r="K218" s="117">
        <v>38318</v>
      </c>
      <c r="L218">
        <v>16.5047</v>
      </c>
      <c r="M218">
        <v>9955456</v>
      </c>
      <c r="N218">
        <v>170935.1</v>
      </c>
      <c r="O218">
        <v>3425.47</v>
      </c>
    </row>
    <row r="219" spans="1:15">
      <c r="A219" s="101">
        <v>38318</v>
      </c>
      <c r="B219" s="113">
        <f t="shared" si="21"/>
        <v>16.5047</v>
      </c>
      <c r="C219" s="113">
        <f t="shared" si="22"/>
        <v>9955.4560000000001</v>
      </c>
      <c r="D219" s="74">
        <f t="shared" si="23"/>
        <v>170.93510000000001</v>
      </c>
      <c r="E219" s="74">
        <f t="shared" si="24"/>
        <v>25.382955294516027</v>
      </c>
      <c r="F219" s="113">
        <f t="shared" si="25"/>
        <v>0</v>
      </c>
      <c r="G219" s="115">
        <f t="shared" si="26"/>
        <v>3.1299082860414273E-4</v>
      </c>
      <c r="H219" s="114">
        <f t="shared" si="27"/>
        <v>3425.47</v>
      </c>
      <c r="K219" s="117">
        <v>38351</v>
      </c>
      <c r="L219">
        <v>15.5722</v>
      </c>
      <c r="M219">
        <v>9955456</v>
      </c>
      <c r="N219">
        <v>161278.29999999999</v>
      </c>
      <c r="O219">
        <v>3294.14</v>
      </c>
    </row>
    <row r="220" spans="1:15">
      <c r="A220" s="101">
        <v>38351</v>
      </c>
      <c r="B220" s="113">
        <f t="shared" si="21"/>
        <v>15.5722</v>
      </c>
      <c r="C220" s="113">
        <f t="shared" si="22"/>
        <v>9955.4560000000001</v>
      </c>
      <c r="D220" s="74">
        <f t="shared" si="23"/>
        <v>161.2783</v>
      </c>
      <c r="E220" s="74">
        <f t="shared" si="24"/>
        <v>24.409791460406026</v>
      </c>
      <c r="F220" s="113">
        <f t="shared" si="25"/>
        <v>0</v>
      </c>
      <c r="G220" s="115">
        <f t="shared" si="26"/>
        <v>-8.7210249201064016E-4</v>
      </c>
      <c r="H220" s="114">
        <f t="shared" si="27"/>
        <v>3294.14</v>
      </c>
      <c r="K220" s="117">
        <v>38381</v>
      </c>
      <c r="L220">
        <v>11.66</v>
      </c>
      <c r="M220">
        <v>10560420</v>
      </c>
      <c r="N220">
        <v>128097.8</v>
      </c>
      <c r="O220">
        <v>2466.54</v>
      </c>
    </row>
    <row r="221" spans="1:15">
      <c r="A221" s="101">
        <v>38381</v>
      </c>
      <c r="B221" s="113">
        <f t="shared" si="21"/>
        <v>11.66</v>
      </c>
      <c r="C221" s="113">
        <f t="shared" si="22"/>
        <v>10560.42</v>
      </c>
      <c r="D221" s="74">
        <f t="shared" si="23"/>
        <v>128.09780000000001</v>
      </c>
      <c r="E221" s="74">
        <f t="shared" si="24"/>
        <v>18.27722168115195</v>
      </c>
      <c r="F221" s="113">
        <f t="shared" si="25"/>
        <v>-8237.2503203999986</v>
      </c>
      <c r="G221" s="115">
        <f t="shared" si="26"/>
        <v>-7.3374078909852329</v>
      </c>
      <c r="H221" s="114">
        <f t="shared" si="27"/>
        <v>2466.54</v>
      </c>
      <c r="K221" s="117">
        <v>38409</v>
      </c>
      <c r="L221">
        <v>8.1801999999999992</v>
      </c>
      <c r="M221">
        <v>10560420</v>
      </c>
      <c r="N221">
        <v>89869.13</v>
      </c>
      <c r="O221">
        <v>1783.77</v>
      </c>
    </row>
    <row r="222" spans="1:15">
      <c r="A222" s="101">
        <v>38409</v>
      </c>
      <c r="B222" s="113">
        <f t="shared" si="21"/>
        <v>8.1801999999999992</v>
      </c>
      <c r="C222" s="113">
        <f t="shared" si="22"/>
        <v>10560.42</v>
      </c>
      <c r="D222" s="74">
        <f t="shared" si="23"/>
        <v>89.869129999999998</v>
      </c>
      <c r="E222" s="74">
        <f t="shared" si="24"/>
        <v>13.217851613267335</v>
      </c>
      <c r="F222" s="113">
        <f t="shared" si="25"/>
        <v>0</v>
      </c>
      <c r="G222" s="115">
        <f t="shared" si="26"/>
        <v>-7.2317667238763761E-4</v>
      </c>
      <c r="H222" s="114">
        <f t="shared" si="27"/>
        <v>1783.77</v>
      </c>
      <c r="K222" s="117">
        <v>38441</v>
      </c>
      <c r="L222">
        <v>9.7181999999999995</v>
      </c>
      <c r="M222">
        <v>10589570</v>
      </c>
      <c r="N222">
        <v>107060.5</v>
      </c>
      <c r="O222">
        <v>2119.14</v>
      </c>
    </row>
    <row r="223" spans="1:15">
      <c r="A223" s="101">
        <v>38441</v>
      </c>
      <c r="B223" s="113">
        <f t="shared" si="21"/>
        <v>9.7181999999999995</v>
      </c>
      <c r="C223" s="113">
        <f t="shared" si="22"/>
        <v>10589.57</v>
      </c>
      <c r="D223" s="74">
        <f t="shared" si="23"/>
        <v>107.0605</v>
      </c>
      <c r="E223" s="74">
        <f t="shared" si="24"/>
        <v>15.702965106341814</v>
      </c>
      <c r="F223" s="113">
        <f t="shared" si="25"/>
        <v>-260.86917999999673</v>
      </c>
      <c r="G223" s="115">
        <f t="shared" si="26"/>
        <v>-0.29462885186181964</v>
      </c>
      <c r="H223" s="114">
        <f t="shared" si="27"/>
        <v>2119.14</v>
      </c>
      <c r="K223" s="117">
        <v>38471</v>
      </c>
      <c r="L223">
        <v>12.159800000000001</v>
      </c>
      <c r="M223">
        <v>10589570</v>
      </c>
      <c r="N223">
        <v>133958.1</v>
      </c>
      <c r="O223">
        <v>2651.54</v>
      </c>
    </row>
    <row r="224" spans="1:15">
      <c r="A224" s="101">
        <v>38471</v>
      </c>
      <c r="B224" s="113">
        <f t="shared" si="21"/>
        <v>12.159800000000001</v>
      </c>
      <c r="C224" s="113">
        <f t="shared" si="22"/>
        <v>10589.57</v>
      </c>
      <c r="D224" s="74">
        <f t="shared" si="23"/>
        <v>133.9581</v>
      </c>
      <c r="E224" s="74">
        <f t="shared" si="24"/>
        <v>19.648083702855676</v>
      </c>
      <c r="F224" s="113">
        <f t="shared" si="25"/>
        <v>0</v>
      </c>
      <c r="G224" s="115">
        <f t="shared" si="26"/>
        <v>2.7376263096812181E-4</v>
      </c>
      <c r="H224" s="114">
        <f t="shared" si="27"/>
        <v>2651.54</v>
      </c>
      <c r="K224" s="117">
        <v>38500</v>
      </c>
      <c r="L224">
        <v>12.957599999999999</v>
      </c>
      <c r="M224">
        <v>10589570</v>
      </c>
      <c r="N224">
        <v>142747.4</v>
      </c>
      <c r="O224">
        <v>2825.52</v>
      </c>
    </row>
    <row r="225" spans="1:15">
      <c r="A225" s="101">
        <v>38500</v>
      </c>
      <c r="B225" s="113">
        <f t="shared" si="21"/>
        <v>12.957599999999999</v>
      </c>
      <c r="C225" s="113">
        <f t="shared" si="22"/>
        <v>10589.57</v>
      </c>
      <c r="D225" s="74">
        <f t="shared" si="23"/>
        <v>142.7474</v>
      </c>
      <c r="E225" s="74">
        <f t="shared" si="24"/>
        <v>20.937286808455752</v>
      </c>
      <c r="F225" s="113">
        <f t="shared" si="25"/>
        <v>0</v>
      </c>
      <c r="G225" s="115">
        <f t="shared" si="26"/>
        <v>-3.5839076301513728E-4</v>
      </c>
      <c r="H225" s="114">
        <f t="shared" si="27"/>
        <v>2825.52</v>
      </c>
      <c r="K225" s="117">
        <v>38532</v>
      </c>
      <c r="L225">
        <v>11.2659</v>
      </c>
      <c r="M225">
        <v>10626840</v>
      </c>
      <c r="N225">
        <v>124546.5</v>
      </c>
      <c r="O225">
        <v>2477.13</v>
      </c>
    </row>
    <row r="226" spans="1:15">
      <c r="A226" s="101">
        <v>38532</v>
      </c>
      <c r="B226" s="113">
        <f t="shared" si="21"/>
        <v>11.2659</v>
      </c>
      <c r="C226" s="113">
        <f t="shared" si="22"/>
        <v>10626.84</v>
      </c>
      <c r="D226" s="74">
        <f t="shared" si="23"/>
        <v>124.54649999999999</v>
      </c>
      <c r="E226" s="74">
        <f t="shared" si="24"/>
        <v>18.355694269313258</v>
      </c>
      <c r="F226" s="113">
        <f t="shared" si="25"/>
        <v>-451.40492250000534</v>
      </c>
      <c r="G226" s="115">
        <f t="shared" si="26"/>
        <v>-0.43571299777735817</v>
      </c>
      <c r="H226" s="114">
        <f t="shared" si="27"/>
        <v>2477.13</v>
      </c>
      <c r="K226" s="117">
        <v>38563</v>
      </c>
      <c r="L226">
        <v>12.880699999999999</v>
      </c>
      <c r="M226">
        <v>10626840</v>
      </c>
      <c r="N226">
        <v>142399.6</v>
      </c>
      <c r="O226">
        <v>2832.21</v>
      </c>
    </row>
    <row r="227" spans="1:15">
      <c r="A227" s="101">
        <v>38563</v>
      </c>
      <c r="B227" s="113">
        <f t="shared" si="21"/>
        <v>12.880699999999999</v>
      </c>
      <c r="C227" s="113">
        <f t="shared" si="22"/>
        <v>10626.84</v>
      </c>
      <c r="D227" s="74">
        <f t="shared" si="23"/>
        <v>142.39959999999999</v>
      </c>
      <c r="E227" s="74">
        <f t="shared" si="24"/>
        <v>20.986860143186551</v>
      </c>
      <c r="F227" s="113">
        <f t="shared" si="25"/>
        <v>0</v>
      </c>
      <c r="G227" s="115">
        <f t="shared" si="26"/>
        <v>-1.2028413176210506E-3</v>
      </c>
      <c r="H227" s="114">
        <f t="shared" si="27"/>
        <v>2832.21</v>
      </c>
      <c r="K227" s="117">
        <v>38594</v>
      </c>
      <c r="L227">
        <v>13.3614</v>
      </c>
      <c r="M227">
        <v>10626840</v>
      </c>
      <c r="N227">
        <v>147713.1</v>
      </c>
      <c r="O227">
        <v>2937.89</v>
      </c>
    </row>
    <row r="228" spans="1:15">
      <c r="A228" s="101">
        <v>38594</v>
      </c>
      <c r="B228" s="113">
        <f t="shared" si="21"/>
        <v>13.3614</v>
      </c>
      <c r="C228" s="113">
        <f t="shared" si="22"/>
        <v>10626.84</v>
      </c>
      <c r="D228" s="74">
        <f t="shared" si="23"/>
        <v>147.7131</v>
      </c>
      <c r="E228" s="74">
        <f t="shared" si="24"/>
        <v>21.769955810503575</v>
      </c>
      <c r="F228" s="113">
        <f t="shared" si="25"/>
        <v>0</v>
      </c>
      <c r="G228" s="115">
        <f t="shared" si="26"/>
        <v>7.6768110430069925E-4</v>
      </c>
      <c r="H228" s="114">
        <f t="shared" si="27"/>
        <v>2937.89</v>
      </c>
      <c r="K228" s="117">
        <v>38624</v>
      </c>
      <c r="L228">
        <v>15.7837</v>
      </c>
      <c r="M228">
        <v>10647490</v>
      </c>
      <c r="N228">
        <v>174831.8</v>
      </c>
      <c r="O228">
        <v>3491.35</v>
      </c>
    </row>
    <row r="229" spans="1:15">
      <c r="A229" s="101">
        <v>38624</v>
      </c>
      <c r="B229" s="113">
        <f t="shared" si="21"/>
        <v>15.7837</v>
      </c>
      <c r="C229" s="113">
        <f t="shared" si="22"/>
        <v>10647.49</v>
      </c>
      <c r="D229" s="74">
        <f t="shared" si="23"/>
        <v>174.83179999999999</v>
      </c>
      <c r="E229" s="74">
        <f t="shared" si="24"/>
        <v>25.871130375542194</v>
      </c>
      <c r="F229" s="113">
        <f t="shared" si="25"/>
        <v>-300.92315749999472</v>
      </c>
      <c r="G229" s="115">
        <f t="shared" si="26"/>
        <v>-0.33966171583814742</v>
      </c>
      <c r="H229" s="114">
        <f t="shared" si="27"/>
        <v>3491.35</v>
      </c>
      <c r="K229" s="117">
        <v>38654</v>
      </c>
      <c r="L229">
        <v>13.7074</v>
      </c>
      <c r="M229">
        <v>10647490</v>
      </c>
      <c r="N229">
        <v>151833.20000000001</v>
      </c>
      <c r="O229">
        <v>3032.07</v>
      </c>
    </row>
    <row r="230" spans="1:15">
      <c r="A230" s="101">
        <v>38654</v>
      </c>
      <c r="B230" s="113">
        <f t="shared" si="21"/>
        <v>13.7074</v>
      </c>
      <c r="C230" s="113">
        <f t="shared" si="22"/>
        <v>10647.49</v>
      </c>
      <c r="D230" s="74">
        <f t="shared" si="23"/>
        <v>151.83320000000001</v>
      </c>
      <c r="E230" s="74">
        <f t="shared" si="24"/>
        <v>22.467835730525504</v>
      </c>
      <c r="F230" s="113">
        <f t="shared" si="25"/>
        <v>0</v>
      </c>
      <c r="G230" s="115">
        <f t="shared" si="26"/>
        <v>-1.6695705078006995E-5</v>
      </c>
      <c r="H230" s="114">
        <f t="shared" si="27"/>
        <v>3032.07</v>
      </c>
      <c r="K230" s="117">
        <v>38685</v>
      </c>
      <c r="L230">
        <v>15.3992</v>
      </c>
      <c r="M230">
        <v>10647490</v>
      </c>
      <c r="N230">
        <v>170572.7</v>
      </c>
      <c r="O230">
        <v>3406.3</v>
      </c>
    </row>
    <row r="231" spans="1:15">
      <c r="A231" s="101">
        <v>38685</v>
      </c>
      <c r="B231" s="113">
        <f t="shared" si="21"/>
        <v>15.3992</v>
      </c>
      <c r="C231" s="113">
        <f t="shared" si="22"/>
        <v>10647.49</v>
      </c>
      <c r="D231" s="74">
        <f t="shared" si="23"/>
        <v>170.5727</v>
      </c>
      <c r="E231" s="74">
        <f t="shared" si="24"/>
        <v>25.240904348807589</v>
      </c>
      <c r="F231" s="113">
        <f t="shared" si="25"/>
        <v>0</v>
      </c>
      <c r="G231" s="115">
        <f t="shared" si="26"/>
        <v>1.1566453158806667E-4</v>
      </c>
      <c r="H231" s="114">
        <f t="shared" si="27"/>
        <v>3406.3</v>
      </c>
      <c r="K231" s="117">
        <v>38716</v>
      </c>
      <c r="L231">
        <v>14.543699999999999</v>
      </c>
      <c r="M231">
        <v>10647490</v>
      </c>
      <c r="N231">
        <v>161096.5</v>
      </c>
      <c r="O231">
        <v>3237.94</v>
      </c>
    </row>
    <row r="232" spans="1:15">
      <c r="A232" s="101">
        <v>38716</v>
      </c>
      <c r="B232" s="113">
        <f t="shared" si="21"/>
        <v>14.543699999999999</v>
      </c>
      <c r="C232" s="113">
        <f t="shared" si="22"/>
        <v>10647.49</v>
      </c>
      <c r="D232" s="74">
        <f t="shared" si="23"/>
        <v>161.09649999999999</v>
      </c>
      <c r="E232" s="74">
        <f t="shared" si="24"/>
        <v>23.993345808407376</v>
      </c>
      <c r="F232" s="113">
        <f t="shared" si="25"/>
        <v>0</v>
      </c>
      <c r="G232" s="115">
        <f t="shared" si="26"/>
        <v>6.1963608493087463E-5</v>
      </c>
      <c r="H232" s="114">
        <f t="shared" si="27"/>
        <v>3237.94</v>
      </c>
      <c r="K232" s="117">
        <v>38745</v>
      </c>
      <c r="L232">
        <v>15.456899999999999</v>
      </c>
      <c r="M232">
        <v>10669820</v>
      </c>
      <c r="N232">
        <v>171570.5</v>
      </c>
      <c r="O232">
        <v>3441.24</v>
      </c>
    </row>
    <row r="233" spans="1:15">
      <c r="A233" s="101">
        <v>38745</v>
      </c>
      <c r="B233" s="113">
        <f t="shared" si="21"/>
        <v>15.456899999999999</v>
      </c>
      <c r="C233" s="113">
        <f t="shared" si="22"/>
        <v>10669.82</v>
      </c>
      <c r="D233" s="74">
        <f t="shared" si="23"/>
        <v>171.57050000000001</v>
      </c>
      <c r="E233" s="74">
        <f t="shared" si="24"/>
        <v>25.499812019285038</v>
      </c>
      <c r="F233" s="113">
        <f t="shared" si="25"/>
        <v>-334.95669899999888</v>
      </c>
      <c r="G233" s="115">
        <f t="shared" si="26"/>
        <v>-0.35873883537204421</v>
      </c>
      <c r="H233" s="114">
        <f t="shared" si="27"/>
        <v>3441.24</v>
      </c>
      <c r="K233" s="117">
        <v>38773</v>
      </c>
      <c r="L233">
        <v>15.4377</v>
      </c>
      <c r="M233">
        <v>10669820</v>
      </c>
      <c r="N233">
        <v>171357.2</v>
      </c>
      <c r="O233">
        <v>3458.55</v>
      </c>
    </row>
    <row r="234" spans="1:15">
      <c r="A234" s="101">
        <v>38773</v>
      </c>
      <c r="B234" s="113">
        <f t="shared" si="21"/>
        <v>15.4377</v>
      </c>
      <c r="C234" s="113">
        <f t="shared" si="22"/>
        <v>10669.82</v>
      </c>
      <c r="D234" s="74">
        <f t="shared" si="23"/>
        <v>171.35720000000001</v>
      </c>
      <c r="E234" s="74">
        <f t="shared" si="24"/>
        <v>25.628080244126618</v>
      </c>
      <c r="F234" s="113">
        <f t="shared" si="25"/>
        <v>0</v>
      </c>
      <c r="G234" s="115">
        <f t="shared" si="26"/>
        <v>1.8135395842722168E-4</v>
      </c>
      <c r="H234" s="114">
        <f t="shared" si="27"/>
        <v>3458.55</v>
      </c>
      <c r="K234" s="117">
        <v>38806</v>
      </c>
      <c r="L234">
        <v>17.494700000000002</v>
      </c>
      <c r="M234">
        <v>10676520</v>
      </c>
      <c r="N234">
        <v>194312.5</v>
      </c>
      <c r="O234">
        <v>3919.41</v>
      </c>
    </row>
    <row r="235" spans="1:15">
      <c r="A235" s="101">
        <v>38806</v>
      </c>
      <c r="B235" s="113">
        <f t="shared" si="21"/>
        <v>17.494700000000002</v>
      </c>
      <c r="C235" s="113">
        <f t="shared" si="22"/>
        <v>10676.52</v>
      </c>
      <c r="D235" s="74">
        <f t="shared" si="23"/>
        <v>194.3125</v>
      </c>
      <c r="E235" s="74">
        <f t="shared" si="24"/>
        <v>29.043082791815152</v>
      </c>
      <c r="F235" s="113">
        <f t="shared" si="25"/>
        <v>-110.32354000001199</v>
      </c>
      <c r="G235" s="115">
        <f t="shared" si="26"/>
        <v>-0.12276922145135671</v>
      </c>
      <c r="H235" s="114">
        <f t="shared" si="27"/>
        <v>3919.41</v>
      </c>
      <c r="K235" s="117">
        <v>38836</v>
      </c>
      <c r="L235">
        <v>18.129200000000001</v>
      </c>
      <c r="M235">
        <v>10676520</v>
      </c>
      <c r="N235">
        <v>201358.9</v>
      </c>
      <c r="O235">
        <v>4061.54</v>
      </c>
    </row>
    <row r="236" spans="1:15">
      <c r="A236" s="101">
        <v>38836</v>
      </c>
      <c r="B236" s="113">
        <f t="shared" si="21"/>
        <v>18.129200000000001</v>
      </c>
      <c r="C236" s="113">
        <f t="shared" si="22"/>
        <v>10676.52</v>
      </c>
      <c r="D236" s="74">
        <f t="shared" si="23"/>
        <v>201.35890000000001</v>
      </c>
      <c r="E236" s="74">
        <f t="shared" si="24"/>
        <v>30.096275327732727</v>
      </c>
      <c r="F236" s="113">
        <f t="shared" si="25"/>
        <v>0</v>
      </c>
      <c r="G236" s="115">
        <f t="shared" si="26"/>
        <v>9.5041183901134474E-4</v>
      </c>
      <c r="H236" s="114">
        <f t="shared" si="27"/>
        <v>4061.54</v>
      </c>
      <c r="K236" s="117">
        <v>38867</v>
      </c>
      <c r="L236">
        <v>15.7164</v>
      </c>
      <c r="M236">
        <v>10676520</v>
      </c>
      <c r="N236">
        <v>174560.9</v>
      </c>
      <c r="O236">
        <v>3521</v>
      </c>
    </row>
    <row r="237" spans="1:15">
      <c r="A237" s="101">
        <v>38867</v>
      </c>
      <c r="B237" s="113">
        <f t="shared" si="21"/>
        <v>15.7164</v>
      </c>
      <c r="C237" s="113">
        <f t="shared" si="22"/>
        <v>10676.52</v>
      </c>
      <c r="D237" s="74">
        <f t="shared" si="23"/>
        <v>174.5609</v>
      </c>
      <c r="E237" s="74">
        <f t="shared" si="24"/>
        <v>26.090838802263903</v>
      </c>
      <c r="F237" s="113">
        <f t="shared" si="25"/>
        <v>0</v>
      </c>
      <c r="G237" s="115">
        <f t="shared" si="26"/>
        <v>-6.8686538843465428E-4</v>
      </c>
      <c r="H237" s="114">
        <f t="shared" si="27"/>
        <v>3521</v>
      </c>
      <c r="K237" s="117">
        <v>38897</v>
      </c>
      <c r="L237">
        <v>13.8612</v>
      </c>
      <c r="M237">
        <v>10691220</v>
      </c>
      <c r="N237">
        <v>154167.4</v>
      </c>
      <c r="O237">
        <v>3124.9</v>
      </c>
    </row>
    <row r="238" spans="1:15">
      <c r="A238" s="101">
        <v>38897</v>
      </c>
      <c r="B238" s="113">
        <f t="shared" si="21"/>
        <v>13.8612</v>
      </c>
      <c r="C238" s="113">
        <f t="shared" si="22"/>
        <v>10691.22</v>
      </c>
      <c r="D238" s="74">
        <f t="shared" si="23"/>
        <v>154.16739999999999</v>
      </c>
      <c r="E238" s="74">
        <f t="shared" si="24"/>
        <v>23.15571206282149</v>
      </c>
      <c r="F238" s="113">
        <f t="shared" si="25"/>
        <v>-217.39535999998387</v>
      </c>
      <c r="G238" s="115">
        <f t="shared" si="26"/>
        <v>-0.21207008475222011</v>
      </c>
      <c r="H238" s="114">
        <f t="shared" si="27"/>
        <v>3124.9</v>
      </c>
      <c r="K238" s="117">
        <v>38927</v>
      </c>
      <c r="L238">
        <v>15.4953</v>
      </c>
      <c r="M238">
        <v>10691220</v>
      </c>
      <c r="N238">
        <v>172342.39999999999</v>
      </c>
      <c r="O238">
        <v>3493.29</v>
      </c>
    </row>
    <row r="239" spans="1:15">
      <c r="A239" s="101">
        <v>38927</v>
      </c>
      <c r="B239" s="113">
        <f t="shared" si="21"/>
        <v>15.4953</v>
      </c>
      <c r="C239" s="113">
        <f t="shared" si="22"/>
        <v>10691.22</v>
      </c>
      <c r="D239" s="74">
        <f t="shared" si="23"/>
        <v>172.3424</v>
      </c>
      <c r="E239" s="74">
        <f t="shared" si="24"/>
        <v>25.88550590160763</v>
      </c>
      <c r="F239" s="113">
        <f t="shared" si="25"/>
        <v>0</v>
      </c>
      <c r="G239" s="115">
        <f t="shared" si="26"/>
        <v>-1.7037918797413454E-4</v>
      </c>
      <c r="H239" s="114">
        <f t="shared" si="27"/>
        <v>3493.29</v>
      </c>
      <c r="K239" s="117">
        <v>38959</v>
      </c>
      <c r="L239">
        <v>13.918900000000001</v>
      </c>
      <c r="M239">
        <v>10691220</v>
      </c>
      <c r="N239">
        <v>154808.79999999999</v>
      </c>
      <c r="O239">
        <v>3137.9</v>
      </c>
    </row>
    <row r="240" spans="1:15">
      <c r="A240" s="101">
        <v>38959</v>
      </c>
      <c r="B240" s="113">
        <f t="shared" si="21"/>
        <v>13.918900000000001</v>
      </c>
      <c r="C240" s="113">
        <f t="shared" si="22"/>
        <v>10691.22</v>
      </c>
      <c r="D240" s="74">
        <f t="shared" si="23"/>
        <v>154.80879999999999</v>
      </c>
      <c r="E240" s="74">
        <f t="shared" si="24"/>
        <v>23.25204290758986</v>
      </c>
      <c r="F240" s="113">
        <f t="shared" si="25"/>
        <v>0</v>
      </c>
      <c r="G240" s="115">
        <f t="shared" si="26"/>
        <v>5.0549005184308271E-4</v>
      </c>
      <c r="H240" s="114">
        <f t="shared" si="27"/>
        <v>3137.9</v>
      </c>
      <c r="K240" s="117">
        <v>38989</v>
      </c>
      <c r="L240">
        <v>15.6203</v>
      </c>
      <c r="M240">
        <v>10654720</v>
      </c>
      <c r="N240">
        <v>173139.1</v>
      </c>
      <c r="O240">
        <v>3547.5</v>
      </c>
    </row>
    <row r="241" spans="1:15">
      <c r="A241" s="101">
        <v>38989</v>
      </c>
      <c r="B241" s="113">
        <f t="shared" si="21"/>
        <v>15.6203</v>
      </c>
      <c r="C241" s="113">
        <f t="shared" si="22"/>
        <v>10654.72</v>
      </c>
      <c r="D241" s="74">
        <f t="shared" si="23"/>
        <v>173.13910000000001</v>
      </c>
      <c r="E241" s="74">
        <f t="shared" si="24"/>
        <v>26.287205524291732</v>
      </c>
      <c r="F241" s="113">
        <f t="shared" si="25"/>
        <v>539.09040000000005</v>
      </c>
      <c r="G241" s="115">
        <f t="shared" si="26"/>
        <v>0.59301235370607586</v>
      </c>
      <c r="H241" s="114">
        <f t="shared" si="27"/>
        <v>3547.5</v>
      </c>
      <c r="K241" s="117">
        <v>39018</v>
      </c>
      <c r="L241">
        <v>15.3992</v>
      </c>
      <c r="M241">
        <v>10654720</v>
      </c>
      <c r="N241">
        <v>170688.4</v>
      </c>
      <c r="O241">
        <v>3497.29</v>
      </c>
    </row>
    <row r="242" spans="1:15">
      <c r="A242" s="101">
        <v>39018</v>
      </c>
      <c r="B242" s="113">
        <f t="shared" si="21"/>
        <v>15.3992</v>
      </c>
      <c r="C242" s="113">
        <f t="shared" si="22"/>
        <v>10654.72</v>
      </c>
      <c r="D242" s="74">
        <f t="shared" si="23"/>
        <v>170.6884</v>
      </c>
      <c r="E242" s="74">
        <f t="shared" si="24"/>
        <v>25.915146161536356</v>
      </c>
      <c r="F242" s="113">
        <f t="shared" si="25"/>
        <v>0</v>
      </c>
      <c r="G242" s="115">
        <f t="shared" si="26"/>
        <v>-2.4698629340846878E-5</v>
      </c>
      <c r="H242" s="114">
        <f t="shared" si="27"/>
        <v>3497.29</v>
      </c>
      <c r="K242" s="117">
        <v>39050</v>
      </c>
      <c r="L242">
        <v>15.2166</v>
      </c>
      <c r="M242">
        <v>10654720</v>
      </c>
      <c r="N242">
        <v>168664.1</v>
      </c>
      <c r="O242">
        <v>3455.81</v>
      </c>
    </row>
    <row r="243" spans="1:15">
      <c r="A243" s="101">
        <v>39050</v>
      </c>
      <c r="B243" s="113">
        <f t="shared" si="21"/>
        <v>15.2166</v>
      </c>
      <c r="C243" s="113">
        <f t="shared" si="22"/>
        <v>10654.72</v>
      </c>
      <c r="D243" s="74">
        <f t="shared" si="23"/>
        <v>168.66410000000002</v>
      </c>
      <c r="E243" s="74">
        <f t="shared" si="24"/>
        <v>25.607776666075434</v>
      </c>
      <c r="F243" s="113">
        <f t="shared" si="25"/>
        <v>0</v>
      </c>
      <c r="G243" s="115">
        <f t="shared" si="26"/>
        <v>3.1811522673574899E-4</v>
      </c>
      <c r="H243" s="114">
        <f t="shared" si="27"/>
        <v>3455.81</v>
      </c>
      <c r="K243" s="117">
        <v>39081</v>
      </c>
      <c r="L243">
        <v>17.581299999999999</v>
      </c>
      <c r="M243">
        <v>10654720</v>
      </c>
      <c r="N243">
        <v>194874.7</v>
      </c>
      <c r="O243">
        <v>4023.8</v>
      </c>
    </row>
    <row r="244" spans="1:15">
      <c r="A244" s="101">
        <v>39081</v>
      </c>
      <c r="B244" s="113">
        <f t="shared" si="21"/>
        <v>17.581299999999999</v>
      </c>
      <c r="C244" s="113">
        <f t="shared" si="22"/>
        <v>10654.72</v>
      </c>
      <c r="D244" s="74">
        <f t="shared" si="23"/>
        <v>194.87470000000002</v>
      </c>
      <c r="E244" s="74">
        <f t="shared" si="24"/>
        <v>29.81661947530516</v>
      </c>
      <c r="F244" s="113">
        <f t="shared" si="25"/>
        <v>0</v>
      </c>
      <c r="G244" s="115">
        <f t="shared" si="26"/>
        <v>2.4849900765389066E-4</v>
      </c>
      <c r="H244" s="114">
        <f t="shared" si="27"/>
        <v>4023.8</v>
      </c>
      <c r="K244" s="117">
        <v>39112</v>
      </c>
      <c r="L244">
        <v>19.3596</v>
      </c>
      <c r="M244">
        <v>10618490</v>
      </c>
      <c r="N244">
        <v>213856.3</v>
      </c>
      <c r="O244">
        <v>4430.8</v>
      </c>
    </row>
    <row r="245" spans="1:15">
      <c r="A245" s="101">
        <v>39112</v>
      </c>
      <c r="B245" s="113">
        <f t="shared" si="21"/>
        <v>19.3596</v>
      </c>
      <c r="C245" s="113">
        <f t="shared" si="22"/>
        <v>10618.49</v>
      </c>
      <c r="D245" s="74">
        <f t="shared" si="23"/>
        <v>213.85629999999998</v>
      </c>
      <c r="E245" s="74">
        <f t="shared" si="24"/>
        <v>32.832515923053357</v>
      </c>
      <c r="F245" s="113">
        <f t="shared" si="25"/>
        <v>669.18440349999196</v>
      </c>
      <c r="G245" s="115">
        <f t="shared" si="26"/>
        <v>0.72943837657063071</v>
      </c>
      <c r="H245" s="114">
        <f t="shared" si="27"/>
        <v>4430.8</v>
      </c>
      <c r="K245" s="117">
        <v>39140</v>
      </c>
      <c r="L245">
        <v>20.109300000000001</v>
      </c>
      <c r="M245">
        <v>10619350</v>
      </c>
      <c r="N245">
        <v>222156.7</v>
      </c>
      <c r="O245">
        <v>4633.71</v>
      </c>
    </row>
    <row r="246" spans="1:15">
      <c r="A246" s="101">
        <v>39140</v>
      </c>
      <c r="B246" s="113">
        <f t="shared" si="21"/>
        <v>20.109300000000001</v>
      </c>
      <c r="C246" s="113">
        <f t="shared" si="22"/>
        <v>10619.35</v>
      </c>
      <c r="D246" s="74">
        <f t="shared" si="23"/>
        <v>222.1567</v>
      </c>
      <c r="E246" s="74">
        <f t="shared" si="24"/>
        <v>34.336092208587971</v>
      </c>
      <c r="F246" s="113">
        <f t="shared" si="25"/>
        <v>-16.971627000011487</v>
      </c>
      <c r="G246" s="115">
        <f t="shared" si="26"/>
        <v>-1.8820416227628201E-2</v>
      </c>
      <c r="H246" s="114">
        <f t="shared" si="27"/>
        <v>4633.71</v>
      </c>
      <c r="K246" s="117">
        <v>39171</v>
      </c>
      <c r="L246">
        <v>19.273</v>
      </c>
      <c r="M246">
        <v>10619350</v>
      </c>
      <c r="N246">
        <v>212917.8</v>
      </c>
      <c r="O246">
        <v>4441.01</v>
      </c>
    </row>
    <row r="247" spans="1:15">
      <c r="A247" s="101">
        <v>39171</v>
      </c>
      <c r="B247" s="113">
        <f t="shared" si="21"/>
        <v>19.273</v>
      </c>
      <c r="C247" s="113">
        <f t="shared" si="22"/>
        <v>10619.35</v>
      </c>
      <c r="D247" s="74">
        <f t="shared" si="23"/>
        <v>212.9178</v>
      </c>
      <c r="E247" s="74">
        <f t="shared" si="24"/>
        <v>32.908172686521439</v>
      </c>
      <c r="F247" s="113">
        <f t="shared" si="25"/>
        <v>0</v>
      </c>
      <c r="G247" s="115">
        <f t="shared" si="26"/>
        <v>-9.1322920246383887E-5</v>
      </c>
      <c r="H247" s="114">
        <f t="shared" si="27"/>
        <v>4441.01</v>
      </c>
      <c r="K247" s="117">
        <v>39200</v>
      </c>
      <c r="L247">
        <v>19.657499999999999</v>
      </c>
      <c r="M247">
        <v>10605450</v>
      </c>
      <c r="N247">
        <v>216881.3</v>
      </c>
      <c r="O247">
        <v>4529.6099999999997</v>
      </c>
    </row>
    <row r="248" spans="1:15">
      <c r="A248" s="101">
        <v>39200</v>
      </c>
      <c r="B248" s="113">
        <f t="shared" si="21"/>
        <v>19.657499999999999</v>
      </c>
      <c r="C248" s="113">
        <f t="shared" si="22"/>
        <v>10605.45</v>
      </c>
      <c r="D248" s="74">
        <f t="shared" si="23"/>
        <v>216.88129999999998</v>
      </c>
      <c r="E248" s="74">
        <f t="shared" si="24"/>
        <v>33.564704443942787</v>
      </c>
      <c r="F248" s="113">
        <f t="shared" si="25"/>
        <v>270.56697499999291</v>
      </c>
      <c r="G248" s="115">
        <f t="shared" si="26"/>
        <v>0.28425043324861221</v>
      </c>
      <c r="H248" s="114">
        <f t="shared" si="27"/>
        <v>4529.6099999999997</v>
      </c>
      <c r="K248" s="117">
        <v>39232</v>
      </c>
      <c r="L248">
        <v>18.878900000000002</v>
      </c>
      <c r="M248">
        <v>10605450</v>
      </c>
      <c r="N248">
        <v>208290.9</v>
      </c>
      <c r="O248">
        <v>4350.2</v>
      </c>
    </row>
    <row r="249" spans="1:15">
      <c r="A249" s="101">
        <v>39232</v>
      </c>
      <c r="B249" s="113">
        <f t="shared" si="21"/>
        <v>18.878900000000002</v>
      </c>
      <c r="C249" s="113">
        <f t="shared" si="22"/>
        <v>10605.45</v>
      </c>
      <c r="D249" s="74">
        <f t="shared" si="23"/>
        <v>208.29089999999999</v>
      </c>
      <c r="E249" s="74">
        <f t="shared" si="24"/>
        <v>32.235264685489462</v>
      </c>
      <c r="F249" s="113">
        <f t="shared" si="25"/>
        <v>0</v>
      </c>
      <c r="G249" s="115">
        <f t="shared" si="26"/>
        <v>1.0214015009957222E-4</v>
      </c>
      <c r="H249" s="114">
        <f t="shared" si="27"/>
        <v>4350.2</v>
      </c>
      <c r="K249" s="117">
        <v>39262</v>
      </c>
      <c r="L249">
        <v>18.129200000000001</v>
      </c>
      <c r="M249">
        <v>10605450</v>
      </c>
      <c r="N249">
        <v>200018.5</v>
      </c>
      <c r="O249">
        <v>4211.41</v>
      </c>
    </row>
    <row r="250" spans="1:15">
      <c r="A250" s="101">
        <v>39262</v>
      </c>
      <c r="B250" s="113">
        <f t="shared" si="21"/>
        <v>18.129200000000001</v>
      </c>
      <c r="C250" s="113">
        <f t="shared" si="22"/>
        <v>10605.45</v>
      </c>
      <c r="D250" s="74">
        <f t="shared" si="23"/>
        <v>200.01849999999999</v>
      </c>
      <c r="E250" s="74">
        <f t="shared" si="24"/>
        <v>31.206821766612379</v>
      </c>
      <c r="F250" s="113">
        <f t="shared" si="25"/>
        <v>0</v>
      </c>
      <c r="G250" s="115">
        <f t="shared" si="26"/>
        <v>9.6004693070561586E-4</v>
      </c>
      <c r="H250" s="114">
        <f t="shared" si="27"/>
        <v>4211.41</v>
      </c>
      <c r="K250" s="117">
        <v>39291</v>
      </c>
      <c r="L250">
        <v>17.216000000000001</v>
      </c>
      <c r="M250">
        <v>10600340</v>
      </c>
      <c r="N250">
        <v>189851.8</v>
      </c>
      <c r="O250">
        <v>3999.27</v>
      </c>
    </row>
    <row r="251" spans="1:15">
      <c r="A251" s="101">
        <v>39291</v>
      </c>
      <c r="B251" s="113">
        <f t="shared" si="21"/>
        <v>17.216000000000001</v>
      </c>
      <c r="C251" s="113">
        <f t="shared" si="22"/>
        <v>10600.34</v>
      </c>
      <c r="D251" s="74">
        <f t="shared" si="23"/>
        <v>189.8518</v>
      </c>
      <c r="E251" s="74">
        <f t="shared" si="24"/>
        <v>29.634850581292227</v>
      </c>
      <c r="F251" s="113">
        <f t="shared" si="25"/>
        <v>90.306986000010298</v>
      </c>
      <c r="G251" s="115">
        <f t="shared" si="26"/>
        <v>9.1412938243275121E-2</v>
      </c>
      <c r="H251" s="114">
        <f t="shared" si="27"/>
        <v>3999.27</v>
      </c>
      <c r="K251" s="117">
        <v>39324</v>
      </c>
      <c r="L251">
        <v>15.678000000000001</v>
      </c>
      <c r="M251">
        <v>10600340</v>
      </c>
      <c r="N251">
        <v>172891.4</v>
      </c>
      <c r="O251">
        <v>3642</v>
      </c>
    </row>
    <row r="252" spans="1:15">
      <c r="A252" s="101">
        <v>39324</v>
      </c>
      <c r="B252" s="113">
        <f t="shared" si="21"/>
        <v>15.678000000000001</v>
      </c>
      <c r="C252" s="113">
        <f t="shared" si="22"/>
        <v>10600.34</v>
      </c>
      <c r="D252" s="74">
        <f t="shared" si="23"/>
        <v>172.8914</v>
      </c>
      <c r="E252" s="74">
        <f t="shared" si="24"/>
        <v>26.987456665107956</v>
      </c>
      <c r="F252" s="113">
        <f t="shared" si="25"/>
        <v>0</v>
      </c>
      <c r="G252" s="115">
        <f t="shared" si="26"/>
        <v>-1.058317843956047E-4</v>
      </c>
      <c r="H252" s="114">
        <f t="shared" si="27"/>
        <v>3642</v>
      </c>
      <c r="K252" s="117">
        <v>39354</v>
      </c>
      <c r="L252">
        <v>14.6302</v>
      </c>
      <c r="M252">
        <v>10557350</v>
      </c>
      <c r="N252">
        <v>160682.79999999999</v>
      </c>
      <c r="O252">
        <v>3430.31</v>
      </c>
    </row>
    <row r="253" spans="1:15">
      <c r="A253" s="101">
        <v>39354</v>
      </c>
      <c r="B253" s="113">
        <f t="shared" si="21"/>
        <v>14.6302</v>
      </c>
      <c r="C253" s="113">
        <f t="shared" si="22"/>
        <v>10557.35</v>
      </c>
      <c r="D253" s="74">
        <f t="shared" si="23"/>
        <v>160.68279999999999</v>
      </c>
      <c r="E253" s="74">
        <f t="shared" si="24"/>
        <v>25.418820009029783</v>
      </c>
      <c r="F253" s="113">
        <f t="shared" si="25"/>
        <v>651.47475899999665</v>
      </c>
      <c r="G253" s="115">
        <f t="shared" si="26"/>
        <v>0.65383479270316514</v>
      </c>
      <c r="H253" s="114">
        <f t="shared" si="27"/>
        <v>3430.31</v>
      </c>
      <c r="K253" s="117">
        <v>39385</v>
      </c>
      <c r="L253">
        <v>16.0625</v>
      </c>
      <c r="M253">
        <v>10557350</v>
      </c>
      <c r="N253">
        <v>176413.2</v>
      </c>
      <c r="O253">
        <v>3766.12</v>
      </c>
    </row>
    <row r="254" spans="1:15">
      <c r="A254" s="101">
        <v>39385</v>
      </c>
      <c r="B254" s="113">
        <f t="shared" si="21"/>
        <v>16.0625</v>
      </c>
      <c r="C254" s="113">
        <f t="shared" si="22"/>
        <v>10557.35</v>
      </c>
      <c r="D254" s="74">
        <f t="shared" si="23"/>
        <v>176.41320000000002</v>
      </c>
      <c r="E254" s="74">
        <f t="shared" si="24"/>
        <v>27.907193930696423</v>
      </c>
      <c r="F254" s="113">
        <f t="shared" si="25"/>
        <v>0</v>
      </c>
      <c r="G254" s="115">
        <f t="shared" si="26"/>
        <v>4.8368169947110573E-4</v>
      </c>
      <c r="H254" s="114">
        <f t="shared" si="27"/>
        <v>3766.12</v>
      </c>
      <c r="K254" s="117">
        <v>39415</v>
      </c>
      <c r="L254">
        <v>15.2935</v>
      </c>
      <c r="M254">
        <v>10557350</v>
      </c>
      <c r="N254">
        <v>167967.4</v>
      </c>
      <c r="O254">
        <v>3585.82</v>
      </c>
    </row>
    <row r="255" spans="1:15">
      <c r="A255" s="101">
        <v>39415</v>
      </c>
      <c r="B255" s="113">
        <f t="shared" si="21"/>
        <v>15.2935</v>
      </c>
      <c r="C255" s="113">
        <f t="shared" si="22"/>
        <v>10557.35</v>
      </c>
      <c r="D255" s="74">
        <f t="shared" si="23"/>
        <v>167.9674</v>
      </c>
      <c r="E255" s="74">
        <f t="shared" si="24"/>
        <v>26.571159214408954</v>
      </c>
      <c r="F255" s="113">
        <f t="shared" si="25"/>
        <v>0</v>
      </c>
      <c r="G255" s="115">
        <f t="shared" si="26"/>
        <v>-6.7754085591786861E-5</v>
      </c>
      <c r="H255" s="114">
        <f t="shared" si="27"/>
        <v>3585.82</v>
      </c>
      <c r="K255" s="117">
        <v>39445</v>
      </c>
      <c r="L255">
        <v>17.216000000000001</v>
      </c>
      <c r="M255">
        <v>10557350</v>
      </c>
      <c r="N255">
        <v>189082</v>
      </c>
      <c r="O255">
        <v>4074.6</v>
      </c>
    </row>
    <row r="256" spans="1:15">
      <c r="A256" s="101">
        <v>39445</v>
      </c>
      <c r="B256" s="113">
        <f t="shared" si="21"/>
        <v>17.216000000000001</v>
      </c>
      <c r="C256" s="113">
        <f t="shared" si="22"/>
        <v>10557.35</v>
      </c>
      <c r="D256" s="74">
        <f t="shared" si="23"/>
        <v>189.08199999999999</v>
      </c>
      <c r="E256" s="74">
        <f t="shared" si="24"/>
        <v>30.193050776400018</v>
      </c>
      <c r="F256" s="113">
        <f t="shared" si="25"/>
        <v>0</v>
      </c>
      <c r="G256" s="115">
        <f t="shared" si="26"/>
        <v>7.7902376837357679E-5</v>
      </c>
      <c r="H256" s="114">
        <f t="shared" si="27"/>
        <v>4074.6</v>
      </c>
      <c r="K256" s="117">
        <v>39477</v>
      </c>
      <c r="L256">
        <v>17.984999999999999</v>
      </c>
      <c r="M256">
        <v>10557350</v>
      </c>
      <c r="N256">
        <v>197527.9</v>
      </c>
      <c r="O256">
        <v>4256.6000000000004</v>
      </c>
    </row>
    <row r="257" spans="1:15">
      <c r="A257" s="101">
        <v>39477</v>
      </c>
      <c r="B257" s="113">
        <f t="shared" si="21"/>
        <v>17.984999999999999</v>
      </c>
      <c r="C257" s="113">
        <f t="shared" si="22"/>
        <v>10557.35</v>
      </c>
      <c r="D257" s="74">
        <f t="shared" si="23"/>
        <v>197.52789999999999</v>
      </c>
      <c r="E257" s="74">
        <f t="shared" si="24"/>
        <v>31.541682603157199</v>
      </c>
      <c r="F257" s="113">
        <f t="shared" si="25"/>
        <v>0</v>
      </c>
      <c r="G257" s="115">
        <f t="shared" si="26"/>
        <v>-3.2318773229178532E-5</v>
      </c>
      <c r="H257" s="114">
        <f t="shared" si="27"/>
        <v>4256.6000000000004</v>
      </c>
      <c r="K257" s="117">
        <v>39506</v>
      </c>
      <c r="L257">
        <v>18.311800000000002</v>
      </c>
      <c r="M257">
        <v>10578860</v>
      </c>
      <c r="N257">
        <v>201527.2</v>
      </c>
      <c r="O257">
        <v>4372.1099999999997</v>
      </c>
    </row>
    <row r="258" spans="1:15">
      <c r="A258" s="101">
        <v>39506</v>
      </c>
      <c r="B258" s="113">
        <f t="shared" si="21"/>
        <v>18.311800000000002</v>
      </c>
      <c r="C258" s="113">
        <f t="shared" si="22"/>
        <v>10578.86</v>
      </c>
      <c r="D258" s="74">
        <f t="shared" si="23"/>
        <v>201.52720000000002</v>
      </c>
      <c r="E258" s="74">
        <f t="shared" si="24"/>
        <v>32.397619209249072</v>
      </c>
      <c r="F258" s="113">
        <f t="shared" si="25"/>
        <v>-390.37208400000401</v>
      </c>
      <c r="G258" s="115">
        <f t="shared" si="26"/>
        <v>-0.41008022129552568</v>
      </c>
      <c r="H258" s="114">
        <f t="shared" si="27"/>
        <v>4372.1099999999997</v>
      </c>
      <c r="K258" s="117">
        <v>39536</v>
      </c>
      <c r="L258">
        <v>19.292300000000001</v>
      </c>
      <c r="M258">
        <v>10578860</v>
      </c>
      <c r="N258">
        <v>212317.7</v>
      </c>
      <c r="O258">
        <v>4606.21</v>
      </c>
    </row>
    <row r="259" spans="1:15">
      <c r="A259" s="101">
        <v>39536</v>
      </c>
      <c r="B259" s="113">
        <f t="shared" si="21"/>
        <v>19.292300000000001</v>
      </c>
      <c r="C259" s="113">
        <f t="shared" si="22"/>
        <v>10578.86</v>
      </c>
      <c r="D259" s="74">
        <f t="shared" si="23"/>
        <v>212.3177</v>
      </c>
      <c r="E259" s="74">
        <f t="shared" si="24"/>
        <v>34.13231542157795</v>
      </c>
      <c r="F259" s="113">
        <f t="shared" si="25"/>
        <v>0</v>
      </c>
      <c r="G259" s="115">
        <f t="shared" si="26"/>
        <v>2.1525464456928489E-4</v>
      </c>
      <c r="H259" s="114">
        <f t="shared" si="27"/>
        <v>4606.21</v>
      </c>
      <c r="K259" s="117">
        <v>39567</v>
      </c>
      <c r="L259">
        <v>18.821300000000001</v>
      </c>
      <c r="M259">
        <v>10587320</v>
      </c>
      <c r="N259">
        <v>207299.4</v>
      </c>
      <c r="O259">
        <v>4493.75</v>
      </c>
    </row>
    <row r="260" spans="1:15">
      <c r="A260" s="101">
        <v>39567</v>
      </c>
      <c r="B260" s="113">
        <f t="shared" si="21"/>
        <v>18.821300000000001</v>
      </c>
      <c r="C260" s="113">
        <f t="shared" si="22"/>
        <v>10587.32</v>
      </c>
      <c r="D260" s="74">
        <f t="shared" si="23"/>
        <v>207.29939999999999</v>
      </c>
      <c r="E260" s="74">
        <f t="shared" si="24"/>
        <v>33.298979513681729</v>
      </c>
      <c r="F260" s="113">
        <f t="shared" si="25"/>
        <v>-161.22052799998337</v>
      </c>
      <c r="G260" s="115">
        <f t="shared" si="26"/>
        <v>-0.16519998185802631</v>
      </c>
      <c r="H260" s="114">
        <f t="shared" si="27"/>
        <v>4493.75</v>
      </c>
      <c r="K260" s="117">
        <v>39598</v>
      </c>
      <c r="L260">
        <v>18.350300000000001</v>
      </c>
      <c r="M260">
        <v>10595310</v>
      </c>
      <c r="N260">
        <v>202264.4</v>
      </c>
      <c r="O260">
        <v>4381.29</v>
      </c>
    </row>
    <row r="261" spans="1:15">
      <c r="A261" s="101">
        <v>39598</v>
      </c>
      <c r="B261" s="113">
        <f t="shared" ref="B261:B324" si="28">L260</f>
        <v>18.350300000000001</v>
      </c>
      <c r="C261" s="113">
        <f t="shared" ref="C261:C324" si="29">M260/1000</f>
        <v>10595.31</v>
      </c>
      <c r="D261" s="74">
        <f t="shared" ref="D261:D324" si="30">N260/1000</f>
        <v>202.26439999999999</v>
      </c>
      <c r="E261" s="74">
        <f t="shared" ref="E261:E301" si="31">H261/H260*E260</f>
        <v>32.465643605785509</v>
      </c>
      <c r="F261" s="113">
        <f t="shared" ref="F261:F301" si="32">-(C261-C260)*(B260+B261)/2</f>
        <v>-148.50054199999593</v>
      </c>
      <c r="G261" s="115">
        <f t="shared" ref="G261:G324" si="33">-((D261-D260)-D260*(B261/B260-1))</f>
        <v>-0.15263408478692675</v>
      </c>
      <c r="H261" s="114">
        <f t="shared" ref="H261:H324" si="34">O260</f>
        <v>4381.29</v>
      </c>
      <c r="K261" s="117">
        <v>39627</v>
      </c>
      <c r="L261">
        <v>20.032399999999999</v>
      </c>
      <c r="M261">
        <v>10595310</v>
      </c>
      <c r="N261">
        <v>220806.3</v>
      </c>
      <c r="O261">
        <v>4824.5600000000004</v>
      </c>
    </row>
    <row r="262" spans="1:15">
      <c r="A262" s="101">
        <v>39627</v>
      </c>
      <c r="B262" s="113">
        <f t="shared" si="28"/>
        <v>20.032399999999999</v>
      </c>
      <c r="C262" s="113">
        <f t="shared" si="29"/>
        <v>10595.31</v>
      </c>
      <c r="D262" s="74">
        <f t="shared" si="30"/>
        <v>220.80629999999999</v>
      </c>
      <c r="E262" s="74">
        <f t="shared" si="31"/>
        <v>35.750303110437457</v>
      </c>
      <c r="F262" s="113">
        <f t="shared" si="32"/>
        <v>0</v>
      </c>
      <c r="G262" s="115">
        <f t="shared" si="33"/>
        <v>-1.1160760314510298E-3</v>
      </c>
      <c r="H262" s="114">
        <f t="shared" si="34"/>
        <v>4824.5600000000004</v>
      </c>
      <c r="K262" s="117">
        <v>39659</v>
      </c>
      <c r="L262">
        <v>19.945900000000002</v>
      </c>
      <c r="M262">
        <v>10558840</v>
      </c>
      <c r="N262">
        <v>219095.9</v>
      </c>
      <c r="O262">
        <v>4803.7299999999996</v>
      </c>
    </row>
    <row r="263" spans="1:15">
      <c r="A263" s="101">
        <v>39659</v>
      </c>
      <c r="B263" s="113">
        <f t="shared" si="28"/>
        <v>19.945900000000002</v>
      </c>
      <c r="C263" s="113">
        <f t="shared" si="29"/>
        <v>10558.84</v>
      </c>
      <c r="D263" s="74">
        <f t="shared" si="30"/>
        <v>219.0959</v>
      </c>
      <c r="E263" s="74">
        <f t="shared" si="31"/>
        <v>35.595951456858593</v>
      </c>
      <c r="F263" s="113">
        <f t="shared" si="32"/>
        <v>729.00430049998704</v>
      </c>
      <c r="G263" s="115">
        <f t="shared" si="33"/>
        <v>0.75695732962603735</v>
      </c>
      <c r="H263" s="114">
        <f t="shared" si="34"/>
        <v>4803.7299999999996</v>
      </c>
      <c r="K263" s="117">
        <v>39690</v>
      </c>
      <c r="L263">
        <v>19.907499999999999</v>
      </c>
      <c r="M263">
        <v>10558840</v>
      </c>
      <c r="N263">
        <v>218673.5</v>
      </c>
      <c r="O263">
        <v>4794.46</v>
      </c>
    </row>
    <row r="264" spans="1:15">
      <c r="A264" s="101">
        <v>39690</v>
      </c>
      <c r="B264" s="113">
        <f t="shared" si="28"/>
        <v>19.907499999999999</v>
      </c>
      <c r="C264" s="113">
        <f t="shared" si="29"/>
        <v>10558.84</v>
      </c>
      <c r="D264" s="74">
        <f t="shared" si="30"/>
        <v>218.67349999999999</v>
      </c>
      <c r="E264" s="74">
        <f t="shared" si="31"/>
        <v>35.527260154473765</v>
      </c>
      <c r="F264" s="113">
        <f t="shared" si="32"/>
        <v>0</v>
      </c>
      <c r="G264" s="115">
        <f t="shared" si="33"/>
        <v>5.9488917519295859E-4</v>
      </c>
      <c r="H264" s="114">
        <f t="shared" si="34"/>
        <v>4794.46</v>
      </c>
      <c r="K264" s="117">
        <v>39718</v>
      </c>
      <c r="L264">
        <v>21.83</v>
      </c>
      <c r="M264">
        <v>10558840</v>
      </c>
      <c r="N264">
        <v>239791.2</v>
      </c>
      <c r="O264">
        <v>5297.32</v>
      </c>
    </row>
    <row r="265" spans="1:15">
      <c r="A265" s="101">
        <v>39718</v>
      </c>
      <c r="B265" s="113">
        <f t="shared" si="28"/>
        <v>21.83</v>
      </c>
      <c r="C265" s="113">
        <f t="shared" si="29"/>
        <v>10558.84</v>
      </c>
      <c r="D265" s="74">
        <f t="shared" si="30"/>
        <v>239.7912</v>
      </c>
      <c r="E265" s="74">
        <f t="shared" si="31"/>
        <v>39.253485431413957</v>
      </c>
      <c r="F265" s="113">
        <f t="shared" si="32"/>
        <v>0</v>
      </c>
      <c r="G265" s="115">
        <f t="shared" si="33"/>
        <v>-4.0637950544208934E-5</v>
      </c>
      <c r="H265" s="114">
        <f t="shared" si="34"/>
        <v>5297.32</v>
      </c>
      <c r="K265" s="117">
        <v>39751</v>
      </c>
      <c r="L265">
        <v>20.2439</v>
      </c>
      <c r="M265">
        <v>10486300</v>
      </c>
      <c r="N265">
        <v>220841.4</v>
      </c>
      <c r="O265">
        <v>4912.4399999999996</v>
      </c>
    </row>
    <row r="266" spans="1:15">
      <c r="A266" s="101">
        <v>39751</v>
      </c>
      <c r="B266" s="113">
        <f t="shared" si="28"/>
        <v>20.2439</v>
      </c>
      <c r="C266" s="113">
        <f t="shared" si="29"/>
        <v>10486.3</v>
      </c>
      <c r="D266" s="74">
        <f t="shared" si="30"/>
        <v>220.84139999999999</v>
      </c>
      <c r="E266" s="74">
        <f t="shared" si="31"/>
        <v>36.401499621071629</v>
      </c>
      <c r="F266" s="113">
        <f t="shared" si="32"/>
        <v>1526.0203530000181</v>
      </c>
      <c r="G266" s="115">
        <f t="shared" si="33"/>
        <v>1.5273161557490056</v>
      </c>
      <c r="H266" s="114">
        <f t="shared" si="34"/>
        <v>4912.4399999999996</v>
      </c>
      <c r="K266" s="117">
        <v>39781</v>
      </c>
      <c r="L266">
        <v>20.311199999999999</v>
      </c>
      <c r="M266">
        <v>10486300</v>
      </c>
      <c r="N266">
        <v>221575.3</v>
      </c>
      <c r="O266">
        <v>4928.7700000000004</v>
      </c>
    </row>
    <row r="267" spans="1:15">
      <c r="A267" s="101">
        <v>39781</v>
      </c>
      <c r="B267" s="113">
        <f t="shared" si="28"/>
        <v>20.311199999999999</v>
      </c>
      <c r="C267" s="113">
        <f t="shared" si="29"/>
        <v>10486.3</v>
      </c>
      <c r="D267" s="74">
        <f t="shared" si="30"/>
        <v>221.5753</v>
      </c>
      <c r="E267" s="74">
        <f t="shared" si="31"/>
        <v>36.522505982230676</v>
      </c>
      <c r="F267" s="113">
        <f t="shared" si="32"/>
        <v>0</v>
      </c>
      <c r="G267" s="115">
        <f t="shared" si="33"/>
        <v>2.7801016599759976E-4</v>
      </c>
      <c r="H267" s="114">
        <f t="shared" si="34"/>
        <v>4928.7700000000004</v>
      </c>
      <c r="K267" s="117">
        <v>39812</v>
      </c>
      <c r="L267">
        <v>20.176600000000001</v>
      </c>
      <c r="M267">
        <v>10486300</v>
      </c>
      <c r="N267">
        <v>220107.2</v>
      </c>
      <c r="O267">
        <v>4940.3</v>
      </c>
    </row>
    <row r="268" spans="1:15">
      <c r="A268" s="101">
        <v>39812</v>
      </c>
      <c r="B268" s="113">
        <f t="shared" si="28"/>
        <v>20.176600000000001</v>
      </c>
      <c r="C268" s="113">
        <f t="shared" si="29"/>
        <v>10486.3</v>
      </c>
      <c r="D268" s="74">
        <f t="shared" si="30"/>
        <v>220.10720000000001</v>
      </c>
      <c r="E268" s="74">
        <f t="shared" si="31"/>
        <v>36.607944031475235</v>
      </c>
      <c r="F268" s="113">
        <f t="shared" si="32"/>
        <v>0</v>
      </c>
      <c r="G268" s="115">
        <f t="shared" si="33"/>
        <v>-2.5417799047278145E-4</v>
      </c>
      <c r="H268" s="114">
        <f t="shared" si="34"/>
        <v>4940.3</v>
      </c>
      <c r="K268" s="117">
        <v>39843</v>
      </c>
      <c r="L268">
        <v>21.416599999999999</v>
      </c>
      <c r="M268">
        <v>10486300</v>
      </c>
      <c r="N268">
        <v>233634.7</v>
      </c>
      <c r="O268">
        <v>5243.93</v>
      </c>
    </row>
    <row r="269" spans="1:15">
      <c r="A269" s="101">
        <v>39843</v>
      </c>
      <c r="B269" s="113">
        <f t="shared" si="28"/>
        <v>21.416599999999999</v>
      </c>
      <c r="C269" s="113">
        <f t="shared" si="29"/>
        <v>10486.3</v>
      </c>
      <c r="D269" s="74">
        <f t="shared" si="30"/>
        <v>233.63470000000001</v>
      </c>
      <c r="E269" s="74">
        <f t="shared" si="31"/>
        <v>38.857862062015251</v>
      </c>
      <c r="F269" s="113">
        <f t="shared" si="32"/>
        <v>0</v>
      </c>
      <c r="G269" s="115">
        <f t="shared" si="33"/>
        <v>-2.9878671334060414E-4</v>
      </c>
      <c r="H269" s="114">
        <f t="shared" si="34"/>
        <v>5243.93</v>
      </c>
      <c r="K269" s="117">
        <v>39871</v>
      </c>
      <c r="L269">
        <v>22.3202</v>
      </c>
      <c r="M269">
        <v>10370920</v>
      </c>
      <c r="N269">
        <v>240812.6</v>
      </c>
      <c r="O269">
        <v>5509.81</v>
      </c>
    </row>
    <row r="270" spans="1:15">
      <c r="A270" s="101">
        <v>39871</v>
      </c>
      <c r="B270" s="113">
        <f t="shared" si="28"/>
        <v>22.3202</v>
      </c>
      <c r="C270" s="113">
        <f t="shared" si="29"/>
        <v>10370.92</v>
      </c>
      <c r="D270" s="74">
        <f t="shared" si="30"/>
        <v>240.8126</v>
      </c>
      <c r="E270" s="74">
        <f t="shared" si="31"/>
        <v>40.828050139477881</v>
      </c>
      <c r="F270" s="113">
        <f t="shared" si="32"/>
        <v>2523.1759919999827</v>
      </c>
      <c r="G270" s="115">
        <f t="shared" si="33"/>
        <v>2.6795150388017017</v>
      </c>
      <c r="H270" s="114">
        <f t="shared" si="34"/>
        <v>5509.81</v>
      </c>
      <c r="K270" s="117">
        <v>39900</v>
      </c>
      <c r="L270">
        <v>22.2241</v>
      </c>
      <c r="M270">
        <v>10370920</v>
      </c>
      <c r="N270">
        <v>239775.6</v>
      </c>
      <c r="O270">
        <v>5486.09</v>
      </c>
    </row>
    <row r="271" spans="1:15">
      <c r="A271" s="101">
        <v>39900</v>
      </c>
      <c r="B271" s="113">
        <f t="shared" si="28"/>
        <v>22.2241</v>
      </c>
      <c r="C271" s="113">
        <f t="shared" si="29"/>
        <v>10370.92</v>
      </c>
      <c r="D271" s="74">
        <f t="shared" si="30"/>
        <v>239.7756</v>
      </c>
      <c r="E271" s="74">
        <f t="shared" si="31"/>
        <v>40.652283398100515</v>
      </c>
      <c r="F271" s="113">
        <f t="shared" si="32"/>
        <v>0</v>
      </c>
      <c r="G271" s="115">
        <f t="shared" si="33"/>
        <v>1.7726274856011415E-4</v>
      </c>
      <c r="H271" s="114">
        <f t="shared" si="34"/>
        <v>5486.09</v>
      </c>
      <c r="K271" s="117">
        <v>39932</v>
      </c>
      <c r="L271">
        <v>21.426300000000001</v>
      </c>
      <c r="M271">
        <v>10340120</v>
      </c>
      <c r="N271">
        <v>230481.1</v>
      </c>
      <c r="O271">
        <v>5289.14</v>
      </c>
    </row>
    <row r="272" spans="1:15">
      <c r="A272" s="101">
        <v>39932</v>
      </c>
      <c r="B272" s="113">
        <f t="shared" si="28"/>
        <v>21.426300000000001</v>
      </c>
      <c r="C272" s="113">
        <f t="shared" si="29"/>
        <v>10340.120000000001</v>
      </c>
      <c r="D272" s="74">
        <f t="shared" si="30"/>
        <v>230.4811</v>
      </c>
      <c r="E272" s="74">
        <f t="shared" si="31"/>
        <v>39.192871099859715</v>
      </c>
      <c r="F272" s="113">
        <f t="shared" si="32"/>
        <v>672.21615999998414</v>
      </c>
      <c r="G272" s="115">
        <f t="shared" si="33"/>
        <v>0.68704351447303225</v>
      </c>
      <c r="H272" s="114">
        <f t="shared" si="34"/>
        <v>5289.14</v>
      </c>
      <c r="K272" s="117">
        <v>39963</v>
      </c>
      <c r="L272">
        <v>22.4163</v>
      </c>
      <c r="M272">
        <v>10340120</v>
      </c>
      <c r="N272">
        <v>241131.4</v>
      </c>
      <c r="O272">
        <v>5533.54</v>
      </c>
    </row>
    <row r="273" spans="1:15">
      <c r="A273" s="101">
        <v>39963</v>
      </c>
      <c r="B273" s="113">
        <f t="shared" si="28"/>
        <v>22.4163</v>
      </c>
      <c r="C273" s="113">
        <f t="shared" si="29"/>
        <v>10340.120000000001</v>
      </c>
      <c r="D273" s="74">
        <f t="shared" si="30"/>
        <v>241.13139999999999</v>
      </c>
      <c r="E273" s="74">
        <f t="shared" si="31"/>
        <v>41.003890981505066</v>
      </c>
      <c r="F273" s="113">
        <f t="shared" si="32"/>
        <v>0</v>
      </c>
      <c r="G273" s="115">
        <f t="shared" si="33"/>
        <v>-9.4434830090150967E-4</v>
      </c>
      <c r="H273" s="114">
        <f t="shared" si="34"/>
        <v>5533.54</v>
      </c>
      <c r="K273" s="117">
        <v>39991</v>
      </c>
      <c r="L273">
        <v>22.291399999999999</v>
      </c>
      <c r="M273">
        <v>10340120</v>
      </c>
      <c r="N273">
        <v>239787.2</v>
      </c>
      <c r="O273">
        <v>5547.66</v>
      </c>
    </row>
    <row r="274" spans="1:15">
      <c r="A274" s="101">
        <v>39991</v>
      </c>
      <c r="B274" s="113">
        <f t="shared" si="28"/>
        <v>22.291399999999999</v>
      </c>
      <c r="C274" s="113">
        <f t="shared" si="29"/>
        <v>10340.120000000001</v>
      </c>
      <c r="D274" s="74">
        <f t="shared" si="30"/>
        <v>239.78720000000001</v>
      </c>
      <c r="E274" s="74">
        <f t="shared" si="31"/>
        <v>41.108521099053476</v>
      </c>
      <c r="F274" s="113">
        <f t="shared" si="32"/>
        <v>0</v>
      </c>
      <c r="G274" s="115">
        <f t="shared" si="33"/>
        <v>6.5481814569712249E-4</v>
      </c>
      <c r="H274" s="114">
        <f t="shared" si="34"/>
        <v>5547.66</v>
      </c>
      <c r="K274" s="117">
        <v>40024</v>
      </c>
      <c r="L274">
        <v>23.425699999999999</v>
      </c>
      <c r="M274">
        <v>10183780</v>
      </c>
      <c r="N274">
        <v>248178.6</v>
      </c>
      <c r="O274">
        <v>5829.95</v>
      </c>
    </row>
    <row r="275" spans="1:15">
      <c r="A275" s="101">
        <v>40024</v>
      </c>
      <c r="B275" s="113">
        <f t="shared" si="28"/>
        <v>23.425699999999999</v>
      </c>
      <c r="C275" s="113">
        <f t="shared" si="29"/>
        <v>10183.780000000001</v>
      </c>
      <c r="D275" s="74">
        <f t="shared" si="30"/>
        <v>248.17860000000002</v>
      </c>
      <c r="E275" s="74">
        <f t="shared" si="31"/>
        <v>43.200308342873718</v>
      </c>
      <c r="F275" s="113">
        <f t="shared" si="32"/>
        <v>3573.7057070000037</v>
      </c>
      <c r="G275" s="115">
        <f t="shared" si="33"/>
        <v>3.8101943798953606</v>
      </c>
      <c r="H275" s="114">
        <f t="shared" si="34"/>
        <v>5829.95</v>
      </c>
      <c r="K275" s="117">
        <v>40054</v>
      </c>
      <c r="L275">
        <v>22.243300000000001</v>
      </c>
      <c r="M275">
        <v>10183780</v>
      </c>
      <c r="N275">
        <v>235652.6</v>
      </c>
      <c r="O275">
        <v>5535.7</v>
      </c>
    </row>
    <row r="276" spans="1:15">
      <c r="A276" s="101">
        <v>40054</v>
      </c>
      <c r="B276" s="113">
        <f t="shared" si="28"/>
        <v>22.243300000000001</v>
      </c>
      <c r="C276" s="113">
        <f t="shared" si="29"/>
        <v>10183.780000000001</v>
      </c>
      <c r="D276" s="74">
        <f t="shared" si="30"/>
        <v>235.65260000000001</v>
      </c>
      <c r="E276" s="74">
        <f t="shared" si="31"/>
        <v>41.019896721866573</v>
      </c>
      <c r="F276" s="113">
        <f t="shared" si="32"/>
        <v>0</v>
      </c>
      <c r="G276" s="115">
        <f t="shared" si="33"/>
        <v>-6.8550523567978416E-4</v>
      </c>
      <c r="H276" s="114">
        <f t="shared" si="34"/>
        <v>5535.7</v>
      </c>
      <c r="K276" s="117">
        <v>40085</v>
      </c>
      <c r="L276">
        <v>22.964200000000002</v>
      </c>
      <c r="M276">
        <v>10117370</v>
      </c>
      <c r="N276">
        <v>241703.9</v>
      </c>
      <c r="O276">
        <v>5759.52</v>
      </c>
    </row>
    <row r="277" spans="1:15">
      <c r="A277" s="101">
        <v>40085</v>
      </c>
      <c r="B277" s="113">
        <f t="shared" si="28"/>
        <v>22.964200000000002</v>
      </c>
      <c r="C277" s="113">
        <f t="shared" si="29"/>
        <v>10117.370000000001</v>
      </c>
      <c r="D277" s="74">
        <f t="shared" si="30"/>
        <v>241.7039</v>
      </c>
      <c r="E277" s="74">
        <f t="shared" si="31"/>
        <v>42.678417466178622</v>
      </c>
      <c r="F277" s="113">
        <f t="shared" si="32"/>
        <v>1501.1150374999968</v>
      </c>
      <c r="G277" s="115">
        <f t="shared" si="33"/>
        <v>1.5861440546141843</v>
      </c>
      <c r="H277" s="114">
        <f t="shared" si="34"/>
        <v>5759.52</v>
      </c>
      <c r="K277" s="117">
        <v>40116</v>
      </c>
      <c r="L277">
        <v>25.127099999999999</v>
      </c>
      <c r="M277">
        <v>10117370</v>
      </c>
      <c r="N277">
        <v>264467.90000000002</v>
      </c>
      <c r="O277">
        <v>6301.96</v>
      </c>
    </row>
    <row r="278" spans="1:15">
      <c r="A278" s="101">
        <v>40116</v>
      </c>
      <c r="B278" s="113">
        <f t="shared" si="28"/>
        <v>25.127099999999999</v>
      </c>
      <c r="C278" s="113">
        <f t="shared" si="29"/>
        <v>10117.370000000001</v>
      </c>
      <c r="D278" s="74">
        <f t="shared" si="30"/>
        <v>264.46790000000004</v>
      </c>
      <c r="E278" s="74">
        <f t="shared" si="31"/>
        <v>46.697933115113585</v>
      </c>
      <c r="F278" s="113">
        <f t="shared" si="32"/>
        <v>0</v>
      </c>
      <c r="G278" s="115">
        <f t="shared" si="33"/>
        <v>1.058887746946624E-3</v>
      </c>
      <c r="H278" s="114">
        <f t="shared" si="34"/>
        <v>6301.96</v>
      </c>
      <c r="K278" s="117">
        <v>40145</v>
      </c>
      <c r="L278">
        <v>25.626899999999999</v>
      </c>
      <c r="M278">
        <v>10117370</v>
      </c>
      <c r="N278">
        <v>269728.90000000002</v>
      </c>
      <c r="O278">
        <v>6427.32</v>
      </c>
    </row>
    <row r="279" spans="1:15">
      <c r="A279" s="101">
        <v>40146</v>
      </c>
      <c r="B279" s="113">
        <f t="shared" si="28"/>
        <v>25.626899999999999</v>
      </c>
      <c r="C279" s="113">
        <f t="shared" si="29"/>
        <v>10117.370000000001</v>
      </c>
      <c r="D279" s="74">
        <f t="shared" si="30"/>
        <v>269.72890000000001</v>
      </c>
      <c r="E279" s="74">
        <f t="shared" si="31"/>
        <v>47.626858861279963</v>
      </c>
      <c r="F279" s="113">
        <f t="shared" si="32"/>
        <v>0</v>
      </c>
      <c r="G279" s="115">
        <f t="shared" si="33"/>
        <v>-5.0211445012049438E-4</v>
      </c>
      <c r="H279" s="114">
        <f t="shared" si="34"/>
        <v>6427.32</v>
      </c>
      <c r="K279" s="117">
        <v>40177</v>
      </c>
      <c r="L279">
        <v>26.9438</v>
      </c>
      <c r="M279">
        <v>10117370</v>
      </c>
      <c r="N279">
        <v>283589.8</v>
      </c>
      <c r="O279">
        <v>6812.03</v>
      </c>
    </row>
    <row r="280" spans="1:15">
      <c r="A280" s="101">
        <v>40177</v>
      </c>
      <c r="B280" s="113">
        <f t="shared" si="28"/>
        <v>26.9438</v>
      </c>
      <c r="C280" s="113">
        <f t="shared" si="29"/>
        <v>10117.370000000001</v>
      </c>
      <c r="D280" s="74">
        <f t="shared" si="30"/>
        <v>283.58979999999997</v>
      </c>
      <c r="E280" s="74">
        <f t="shared" si="31"/>
        <v>50.477584960575314</v>
      </c>
      <c r="F280" s="113">
        <f t="shared" si="32"/>
        <v>0</v>
      </c>
      <c r="G280" s="115">
        <f t="shared" si="33"/>
        <v>-2.3060924258899718E-4</v>
      </c>
      <c r="H280" s="114">
        <f t="shared" si="34"/>
        <v>6812.03</v>
      </c>
      <c r="K280" s="117">
        <v>40208</v>
      </c>
      <c r="L280">
        <v>24.156199999999998</v>
      </c>
      <c r="M280">
        <v>10117370</v>
      </c>
      <c r="N280">
        <v>254249.3</v>
      </c>
      <c r="O280">
        <v>6107.25</v>
      </c>
    </row>
    <row r="281" spans="1:15">
      <c r="A281" s="101">
        <v>40208</v>
      </c>
      <c r="B281" s="113">
        <f t="shared" si="28"/>
        <v>24.156199999999998</v>
      </c>
      <c r="C281" s="113">
        <f t="shared" si="29"/>
        <v>10117.370000000001</v>
      </c>
      <c r="D281" s="74">
        <f t="shared" si="30"/>
        <v>254.24929999999998</v>
      </c>
      <c r="E281" s="74">
        <f t="shared" si="31"/>
        <v>45.255119362432872</v>
      </c>
      <c r="F281" s="113">
        <f t="shared" si="32"/>
        <v>0</v>
      </c>
      <c r="G281" s="115">
        <f t="shared" si="33"/>
        <v>3.5768599823882141E-4</v>
      </c>
      <c r="H281" s="114">
        <f t="shared" si="34"/>
        <v>6107.25</v>
      </c>
      <c r="K281" s="117">
        <v>40236</v>
      </c>
      <c r="L281">
        <v>24.483000000000001</v>
      </c>
      <c r="M281">
        <v>10025000</v>
      </c>
      <c r="N281">
        <v>255336.6</v>
      </c>
      <c r="O281">
        <v>6244.09</v>
      </c>
    </row>
    <row r="282" spans="1:15">
      <c r="A282" s="101">
        <v>40236</v>
      </c>
      <c r="B282" s="113">
        <f t="shared" si="28"/>
        <v>24.483000000000001</v>
      </c>
      <c r="C282" s="113">
        <f t="shared" si="29"/>
        <v>10025</v>
      </c>
      <c r="D282" s="74">
        <f t="shared" si="30"/>
        <v>255.3366</v>
      </c>
      <c r="E282" s="74">
        <f t="shared" si="31"/>
        <v>46.2691126545947</v>
      </c>
      <c r="F282" s="113">
        <f t="shared" si="32"/>
        <v>2246.4014520000196</v>
      </c>
      <c r="G282" s="115">
        <f t="shared" si="33"/>
        <v>2.3523416340318408</v>
      </c>
      <c r="H282" s="114">
        <f t="shared" si="34"/>
        <v>6244.09</v>
      </c>
      <c r="K282" s="117">
        <v>40267</v>
      </c>
      <c r="L282">
        <v>24.886700000000001</v>
      </c>
      <c r="M282">
        <v>10027760</v>
      </c>
      <c r="N282">
        <v>259618.8</v>
      </c>
      <c r="O282">
        <v>6347.05</v>
      </c>
    </row>
    <row r="283" spans="1:15">
      <c r="A283" s="101">
        <v>40267</v>
      </c>
      <c r="B283" s="113">
        <f t="shared" si="28"/>
        <v>24.886700000000001</v>
      </c>
      <c r="C283" s="113">
        <f t="shared" si="29"/>
        <v>10027.76</v>
      </c>
      <c r="D283" s="74">
        <f t="shared" si="30"/>
        <v>259.61879999999996</v>
      </c>
      <c r="E283" s="74">
        <f t="shared" si="31"/>
        <v>47.032052945160189</v>
      </c>
      <c r="F283" s="113">
        <f t="shared" si="32"/>
        <v>-68.130186000005395</v>
      </c>
      <c r="G283" s="115">
        <f t="shared" si="33"/>
        <v>-7.1956752848843841E-2</v>
      </c>
      <c r="H283" s="114">
        <f t="shared" si="34"/>
        <v>6347.05</v>
      </c>
      <c r="K283" s="117">
        <v>40297</v>
      </c>
      <c r="L283">
        <v>25.847999999999999</v>
      </c>
      <c r="M283">
        <v>10027760</v>
      </c>
      <c r="N283">
        <v>269646.5</v>
      </c>
      <c r="O283">
        <v>6592.21</v>
      </c>
    </row>
    <row r="284" spans="1:15">
      <c r="A284" s="101">
        <v>40297</v>
      </c>
      <c r="B284" s="113">
        <f t="shared" si="28"/>
        <v>25.847999999999999</v>
      </c>
      <c r="C284" s="113">
        <f t="shared" si="29"/>
        <v>10027.76</v>
      </c>
      <c r="D284" s="74">
        <f t="shared" si="30"/>
        <v>269.6465</v>
      </c>
      <c r="E284" s="74">
        <f t="shared" si="31"/>
        <v>48.848704476192005</v>
      </c>
      <c r="F284" s="113">
        <f t="shared" si="32"/>
        <v>0</v>
      </c>
      <c r="G284" s="115">
        <f t="shared" si="33"/>
        <v>6.1040033425996398E-4</v>
      </c>
      <c r="H284" s="114">
        <f t="shared" si="34"/>
        <v>6592.21</v>
      </c>
      <c r="K284" s="117">
        <v>40327</v>
      </c>
      <c r="L284">
        <v>25.751899999999999</v>
      </c>
      <c r="M284">
        <v>10027760</v>
      </c>
      <c r="N284">
        <v>268643.7</v>
      </c>
      <c r="O284">
        <v>6567.69</v>
      </c>
    </row>
    <row r="285" spans="1:15">
      <c r="A285" s="101">
        <v>40328</v>
      </c>
      <c r="B285" s="113">
        <f t="shared" si="28"/>
        <v>25.751899999999999</v>
      </c>
      <c r="C285" s="113">
        <f t="shared" si="29"/>
        <v>10027.76</v>
      </c>
      <c r="D285" s="74">
        <f t="shared" si="30"/>
        <v>268.64370000000002</v>
      </c>
      <c r="E285" s="74">
        <f t="shared" si="31"/>
        <v>48.667009682828891</v>
      </c>
      <c r="F285" s="113">
        <f t="shared" si="32"/>
        <v>0</v>
      </c>
      <c r="G285" s="115">
        <f t="shared" si="33"/>
        <v>2.8419026616011145E-4</v>
      </c>
      <c r="H285" s="114">
        <f t="shared" si="34"/>
        <v>6567.69</v>
      </c>
      <c r="K285" s="117">
        <v>40358</v>
      </c>
      <c r="L285">
        <v>25.261600000000001</v>
      </c>
      <c r="M285">
        <v>10033900</v>
      </c>
      <c r="N285">
        <v>263690.90000000002</v>
      </c>
      <c r="O285">
        <v>6495.3</v>
      </c>
    </row>
    <row r="286" spans="1:15">
      <c r="A286" s="101">
        <v>40358</v>
      </c>
      <c r="B286" s="113">
        <f t="shared" si="28"/>
        <v>25.261600000000001</v>
      </c>
      <c r="C286" s="113">
        <f t="shared" si="29"/>
        <v>10033.9</v>
      </c>
      <c r="D286" s="74">
        <f t="shared" si="30"/>
        <v>263.6909</v>
      </c>
      <c r="E286" s="74">
        <f t="shared" si="31"/>
        <v>48.130595078768721</v>
      </c>
      <c r="F286" s="113">
        <f t="shared" si="32"/>
        <v>-156.61144499998517</v>
      </c>
      <c r="G286" s="115">
        <f t="shared" si="33"/>
        <v>-0.162007300043844</v>
      </c>
      <c r="H286" s="114">
        <f t="shared" si="34"/>
        <v>6495.3</v>
      </c>
      <c r="K286" s="117">
        <v>40389</v>
      </c>
      <c r="L286">
        <v>24.1754</v>
      </c>
      <c r="M286">
        <v>10033900</v>
      </c>
      <c r="N286">
        <v>252352.5</v>
      </c>
      <c r="O286">
        <v>6216.01</v>
      </c>
    </row>
    <row r="287" spans="1:15">
      <c r="A287" s="101">
        <v>40389</v>
      </c>
      <c r="B287" s="113">
        <f t="shared" si="28"/>
        <v>24.1754</v>
      </c>
      <c r="C287" s="113">
        <f t="shared" si="29"/>
        <v>10033.9</v>
      </c>
      <c r="D287" s="74">
        <f t="shared" si="30"/>
        <v>252.35249999999999</v>
      </c>
      <c r="E287" s="74">
        <f t="shared" si="31"/>
        <v>46.061038029895023</v>
      </c>
      <c r="F287" s="113">
        <f t="shared" si="32"/>
        <v>0</v>
      </c>
      <c r="G287" s="115">
        <f t="shared" si="33"/>
        <v>2.00694334477447E-4</v>
      </c>
      <c r="H287" s="114">
        <f t="shared" si="34"/>
        <v>6216.01</v>
      </c>
      <c r="K287" s="117">
        <v>40418</v>
      </c>
      <c r="L287">
        <v>24.973299999999998</v>
      </c>
      <c r="M287">
        <v>10033900</v>
      </c>
      <c r="N287">
        <v>260680.7</v>
      </c>
      <c r="O287">
        <v>6421.15</v>
      </c>
    </row>
    <row r="288" spans="1:15">
      <c r="A288" s="101">
        <v>40420</v>
      </c>
      <c r="B288" s="113">
        <f t="shared" si="28"/>
        <v>24.973299999999998</v>
      </c>
      <c r="C288" s="113">
        <f t="shared" si="29"/>
        <v>10033.9</v>
      </c>
      <c r="D288" s="74">
        <f t="shared" si="30"/>
        <v>260.6807</v>
      </c>
      <c r="E288" s="74">
        <f t="shared" si="31"/>
        <v>47.581138760339897</v>
      </c>
      <c r="F288" s="113">
        <f t="shared" si="32"/>
        <v>0</v>
      </c>
      <c r="G288" s="115">
        <f t="shared" si="33"/>
        <v>5.9951314143447121E-4</v>
      </c>
      <c r="H288" s="114">
        <f t="shared" si="34"/>
        <v>6421.15</v>
      </c>
      <c r="K288" s="117">
        <v>40450</v>
      </c>
      <c r="L288">
        <v>24.627199999999998</v>
      </c>
      <c r="M288">
        <v>10042190</v>
      </c>
      <c r="N288">
        <v>257280.8</v>
      </c>
      <c r="O288">
        <v>6385.32</v>
      </c>
    </row>
    <row r="289" spans="1:15">
      <c r="A289" s="101">
        <v>40450</v>
      </c>
      <c r="B289" s="113">
        <f t="shared" si="28"/>
        <v>24.627199999999998</v>
      </c>
      <c r="C289" s="113">
        <f t="shared" si="29"/>
        <v>10042.19</v>
      </c>
      <c r="D289" s="74">
        <f t="shared" si="30"/>
        <v>257.2808</v>
      </c>
      <c r="E289" s="74">
        <f t="shared" si="31"/>
        <v>47.315636132028303</v>
      </c>
      <c r="F289" s="113">
        <f t="shared" si="32"/>
        <v>-205.59407250002164</v>
      </c>
      <c r="G289" s="115">
        <f t="shared" si="33"/>
        <v>-0.21282199789375955</v>
      </c>
      <c r="H289" s="114">
        <f t="shared" si="34"/>
        <v>6385.32</v>
      </c>
      <c r="K289" s="117">
        <v>40481</v>
      </c>
      <c r="L289">
        <v>24.809799999999999</v>
      </c>
      <c r="M289">
        <v>10042190</v>
      </c>
      <c r="N289">
        <v>259188.9</v>
      </c>
      <c r="O289">
        <v>6432.68</v>
      </c>
    </row>
    <row r="290" spans="1:15">
      <c r="A290" s="101">
        <v>40481</v>
      </c>
      <c r="B290" s="113">
        <f t="shared" si="28"/>
        <v>24.809799999999999</v>
      </c>
      <c r="C290" s="113">
        <f t="shared" si="29"/>
        <v>10042.19</v>
      </c>
      <c r="D290" s="74">
        <f t="shared" si="30"/>
        <v>259.18889999999999</v>
      </c>
      <c r="E290" s="74">
        <f t="shared" si="31"/>
        <v>47.666576809584456</v>
      </c>
      <c r="F290" s="113">
        <f t="shared" si="32"/>
        <v>0</v>
      </c>
      <c r="G290" s="115">
        <f t="shared" si="33"/>
        <v>-4.7452572763662104E-4</v>
      </c>
      <c r="H290" s="114">
        <f t="shared" si="34"/>
        <v>6432.68</v>
      </c>
      <c r="K290" s="117">
        <v>40509</v>
      </c>
      <c r="L290">
        <v>25.4635</v>
      </c>
      <c r="M290">
        <v>10042190</v>
      </c>
      <c r="N290">
        <v>266017.59999999998</v>
      </c>
      <c r="O290">
        <v>6602.16</v>
      </c>
    </row>
    <row r="291" spans="1:15">
      <c r="A291" s="101">
        <v>40511</v>
      </c>
      <c r="B291" s="113">
        <f t="shared" si="28"/>
        <v>25.4635</v>
      </c>
      <c r="C291" s="113">
        <f t="shared" si="29"/>
        <v>10042.19</v>
      </c>
      <c r="D291" s="74">
        <f t="shared" si="30"/>
        <v>266.01759999999996</v>
      </c>
      <c r="E291" s="74">
        <f t="shared" si="31"/>
        <v>48.922434622764712</v>
      </c>
      <c r="F291" s="113">
        <f t="shared" si="32"/>
        <v>0</v>
      </c>
      <c r="G291" s="115">
        <f t="shared" si="33"/>
        <v>5.2812477330022034E-4</v>
      </c>
      <c r="H291" s="114">
        <f t="shared" si="34"/>
        <v>6602.16</v>
      </c>
      <c r="K291" s="117">
        <v>40542</v>
      </c>
      <c r="L291">
        <v>24.290800000000001</v>
      </c>
      <c r="M291">
        <v>10042190</v>
      </c>
      <c r="N291">
        <v>253766.2</v>
      </c>
      <c r="O291">
        <v>6355.71</v>
      </c>
    </row>
    <row r="292" spans="1:15">
      <c r="A292" s="101">
        <v>40542</v>
      </c>
      <c r="B292" s="113">
        <f t="shared" si="28"/>
        <v>24.290800000000001</v>
      </c>
      <c r="C292" s="113">
        <f t="shared" si="29"/>
        <v>10042.19</v>
      </c>
      <c r="D292" s="74">
        <f t="shared" si="30"/>
        <v>253.7662</v>
      </c>
      <c r="E292" s="74">
        <f t="shared" si="31"/>
        <v>47.096224107905883</v>
      </c>
      <c r="F292" s="113">
        <f t="shared" si="32"/>
        <v>0</v>
      </c>
      <c r="G292" s="115">
        <f t="shared" si="33"/>
        <v>1.8396449817359439E-4</v>
      </c>
      <c r="H292" s="114">
        <f t="shared" si="34"/>
        <v>6355.71</v>
      </c>
      <c r="K292" s="117">
        <v>40572</v>
      </c>
      <c r="L292">
        <v>22.964200000000002</v>
      </c>
      <c r="M292">
        <v>10042190</v>
      </c>
      <c r="N292">
        <v>239907.9</v>
      </c>
      <c r="O292">
        <v>6008.63</v>
      </c>
    </row>
    <row r="293" spans="1:15">
      <c r="A293" s="101">
        <v>40573</v>
      </c>
      <c r="B293" s="113">
        <f t="shared" si="28"/>
        <v>22.964200000000002</v>
      </c>
      <c r="C293" s="113">
        <f t="shared" si="29"/>
        <v>10042.19</v>
      </c>
      <c r="D293" s="74">
        <f t="shared" si="30"/>
        <v>239.90789999999998</v>
      </c>
      <c r="E293" s="74">
        <f t="shared" si="31"/>
        <v>44.524338753890049</v>
      </c>
      <c r="F293" s="113">
        <f t="shared" si="32"/>
        <v>0</v>
      </c>
      <c r="G293" s="115">
        <f t="shared" si="33"/>
        <v>-7.0179985837093284E-4</v>
      </c>
      <c r="H293" s="114">
        <f t="shared" si="34"/>
        <v>6008.63</v>
      </c>
      <c r="K293" s="117">
        <v>40600</v>
      </c>
      <c r="L293">
        <v>24.982900000000001</v>
      </c>
      <c r="M293">
        <v>10067490</v>
      </c>
      <c r="N293">
        <v>261654.2</v>
      </c>
      <c r="O293">
        <v>6596.92</v>
      </c>
    </row>
    <row r="294" spans="1:15">
      <c r="A294" s="101">
        <v>40601</v>
      </c>
      <c r="B294" s="113">
        <f t="shared" si="28"/>
        <v>24.982900000000001</v>
      </c>
      <c r="C294" s="113">
        <f t="shared" si="29"/>
        <v>10067.49</v>
      </c>
      <c r="D294" s="74">
        <f t="shared" si="30"/>
        <v>261.6542</v>
      </c>
      <c r="E294" s="74">
        <f t="shared" si="31"/>
        <v>48.883605882258074</v>
      </c>
      <c r="F294" s="113">
        <f t="shared" si="32"/>
        <v>-606.53081499998268</v>
      </c>
      <c r="G294" s="115">
        <f t="shared" si="33"/>
        <v>-0.6568617556893237</v>
      </c>
      <c r="H294" s="114">
        <f t="shared" si="34"/>
        <v>6596.92</v>
      </c>
      <c r="K294" s="117">
        <v>40632</v>
      </c>
      <c r="L294">
        <v>23.848600000000001</v>
      </c>
      <c r="M294">
        <v>10075930</v>
      </c>
      <c r="N294">
        <v>249983.7</v>
      </c>
      <c r="O294">
        <v>6297.4</v>
      </c>
    </row>
    <row r="295" spans="1:15">
      <c r="A295" s="101">
        <v>40632</v>
      </c>
      <c r="B295" s="113">
        <f t="shared" si="28"/>
        <v>23.848600000000001</v>
      </c>
      <c r="C295" s="113">
        <f t="shared" si="29"/>
        <v>10075.93</v>
      </c>
      <c r="D295" s="74">
        <f t="shared" si="30"/>
        <v>249.9837</v>
      </c>
      <c r="E295" s="74">
        <f t="shared" si="31"/>
        <v>46.664143218794827</v>
      </c>
      <c r="F295" s="113">
        <f t="shared" si="32"/>
        <v>-206.06893000001247</v>
      </c>
      <c r="G295" s="115">
        <f t="shared" si="33"/>
        <v>-0.20940021414645393</v>
      </c>
      <c r="H295" s="114">
        <f t="shared" si="34"/>
        <v>6297.4</v>
      </c>
      <c r="K295" s="117">
        <v>40662</v>
      </c>
      <c r="L295">
        <v>26.0306</v>
      </c>
      <c r="M295">
        <v>10075930</v>
      </c>
      <c r="N295">
        <v>272856.09999999998</v>
      </c>
      <c r="O295">
        <v>6873.59</v>
      </c>
    </row>
    <row r="296" spans="1:15">
      <c r="A296" s="101">
        <v>40662</v>
      </c>
      <c r="B296" s="113">
        <f t="shared" si="28"/>
        <v>26.0306</v>
      </c>
      <c r="C296" s="113">
        <f t="shared" si="29"/>
        <v>10075.93</v>
      </c>
      <c r="D296" s="74">
        <f t="shared" si="30"/>
        <v>272.85609999999997</v>
      </c>
      <c r="E296" s="74">
        <f t="shared" si="31"/>
        <v>50.933748560878449</v>
      </c>
      <c r="F296" s="113">
        <f t="shared" si="32"/>
        <v>0</v>
      </c>
      <c r="G296" s="115">
        <f t="shared" si="33"/>
        <v>-4.312722759074461E-4</v>
      </c>
      <c r="H296" s="114">
        <f t="shared" si="34"/>
        <v>6873.59</v>
      </c>
      <c r="K296" s="117">
        <v>40691</v>
      </c>
      <c r="L296">
        <v>26.2133</v>
      </c>
      <c r="M296">
        <v>10075930</v>
      </c>
      <c r="N296">
        <v>274770.5</v>
      </c>
      <c r="O296">
        <v>6921.81</v>
      </c>
    </row>
    <row r="297" spans="1:15">
      <c r="A297" s="101">
        <v>40693</v>
      </c>
      <c r="B297" s="113">
        <f t="shared" si="28"/>
        <v>26.2133</v>
      </c>
      <c r="C297" s="113">
        <f t="shared" si="29"/>
        <v>10075.93</v>
      </c>
      <c r="D297" s="74">
        <f t="shared" si="30"/>
        <v>274.77050000000003</v>
      </c>
      <c r="E297" s="74">
        <f t="shared" si="31"/>
        <v>51.291061894319284</v>
      </c>
      <c r="F297" s="113">
        <f t="shared" si="32"/>
        <v>0</v>
      </c>
      <c r="G297" s="115">
        <f t="shared" si="33"/>
        <v>6.8491813475790586E-4</v>
      </c>
      <c r="H297" s="114">
        <f t="shared" si="34"/>
        <v>6921.81</v>
      </c>
      <c r="K297" s="117">
        <v>40723</v>
      </c>
      <c r="L297">
        <v>25.540400000000002</v>
      </c>
      <c r="M297">
        <v>10096430</v>
      </c>
      <c r="N297">
        <v>268262.09999999998</v>
      </c>
      <c r="O297">
        <v>6800.81</v>
      </c>
    </row>
    <row r="298" spans="1:15">
      <c r="A298" s="101">
        <v>40723</v>
      </c>
      <c r="B298" s="113">
        <f t="shared" si="28"/>
        <v>25.540400000000002</v>
      </c>
      <c r="C298" s="113">
        <f t="shared" si="29"/>
        <v>10096.43</v>
      </c>
      <c r="D298" s="74">
        <f t="shared" si="30"/>
        <v>268.26209999999998</v>
      </c>
      <c r="E298" s="74">
        <f t="shared" si="31"/>
        <v>50.394444031475231</v>
      </c>
      <c r="F298" s="113">
        <f t="shared" si="32"/>
        <v>-530.47542499999997</v>
      </c>
      <c r="G298" s="115">
        <f t="shared" si="33"/>
        <v>-0.54500683736874844</v>
      </c>
      <c r="H298" s="114">
        <f t="shared" si="34"/>
        <v>6800.81</v>
      </c>
      <c r="K298" s="117">
        <v>40754</v>
      </c>
      <c r="L298">
        <v>25.0886</v>
      </c>
      <c r="M298">
        <v>10096430</v>
      </c>
      <c r="N298">
        <v>263516.79999999999</v>
      </c>
      <c r="O298">
        <v>6680.51</v>
      </c>
    </row>
    <row r="299" spans="1:15">
      <c r="A299" s="101">
        <v>40754</v>
      </c>
      <c r="B299" s="113">
        <f t="shared" si="28"/>
        <v>25.0886</v>
      </c>
      <c r="C299" s="113">
        <f t="shared" si="29"/>
        <v>10096.43</v>
      </c>
      <c r="D299" s="74">
        <f t="shared" si="30"/>
        <v>263.51679999999999</v>
      </c>
      <c r="E299" s="74">
        <f t="shared" si="31"/>
        <v>49.503013214118702</v>
      </c>
      <c r="F299" s="113">
        <f t="shared" si="32"/>
        <v>0</v>
      </c>
      <c r="G299" s="115">
        <f t="shared" si="33"/>
        <v>-1.5491769904230068E-4</v>
      </c>
      <c r="H299" s="114">
        <f t="shared" si="34"/>
        <v>6680.51</v>
      </c>
      <c r="K299" s="117">
        <v>40785</v>
      </c>
      <c r="L299">
        <v>23.8582</v>
      </c>
      <c r="M299">
        <v>10096430</v>
      </c>
      <c r="N299">
        <v>250593.4</v>
      </c>
      <c r="O299">
        <v>6352.88</v>
      </c>
    </row>
    <row r="300" spans="1:15">
      <c r="A300" s="101">
        <v>40785</v>
      </c>
      <c r="B300" s="113">
        <f t="shared" si="28"/>
        <v>23.8582</v>
      </c>
      <c r="C300" s="113">
        <f t="shared" si="29"/>
        <v>10096.43</v>
      </c>
      <c r="D300" s="74">
        <f t="shared" si="30"/>
        <v>250.5934</v>
      </c>
      <c r="E300" s="74">
        <f t="shared" si="31"/>
        <v>47.075253624006315</v>
      </c>
      <c r="F300" s="113">
        <f t="shared" si="32"/>
        <v>0</v>
      </c>
      <c r="G300" s="115">
        <f t="shared" si="33"/>
        <v>-4.2149821050330161E-5</v>
      </c>
      <c r="H300" s="114">
        <f t="shared" si="34"/>
        <v>6352.88</v>
      </c>
      <c r="K300" s="117">
        <v>40815</v>
      </c>
      <c r="L300">
        <v>24.242699999999999</v>
      </c>
      <c r="M300">
        <v>10109240</v>
      </c>
      <c r="N300">
        <v>254954.9</v>
      </c>
      <c r="O300">
        <v>6513.83</v>
      </c>
    </row>
    <row r="301" spans="1:15">
      <c r="A301" s="101">
        <v>40815</v>
      </c>
      <c r="B301" s="113">
        <f t="shared" si="28"/>
        <v>24.242699999999999</v>
      </c>
      <c r="C301" s="113">
        <f t="shared" si="29"/>
        <v>10109.24</v>
      </c>
      <c r="D301" s="74">
        <f t="shared" si="30"/>
        <v>254.95489999999998</v>
      </c>
      <c r="E301" s="74">
        <f t="shared" si="31"/>
        <v>48.267903582888557</v>
      </c>
      <c r="F301" s="113">
        <f t="shared" si="32"/>
        <v>-308.08626449998775</v>
      </c>
      <c r="G301" s="115">
        <f t="shared" si="33"/>
        <v>-0.32292364889220337</v>
      </c>
      <c r="H301" s="114">
        <f t="shared" si="34"/>
        <v>6513.83</v>
      </c>
      <c r="K301" s="117">
        <v>40845</v>
      </c>
      <c r="L301">
        <v>27.799299999999999</v>
      </c>
      <c r="M301">
        <v>10109240</v>
      </c>
      <c r="N301">
        <v>292359.09999999998</v>
      </c>
      <c r="O301">
        <v>7469.47</v>
      </c>
    </row>
    <row r="302" spans="1:15">
      <c r="A302" s="101">
        <v>40846</v>
      </c>
      <c r="B302" s="113">
        <f t="shared" si="28"/>
        <v>27.799299999999999</v>
      </c>
      <c r="C302" s="113">
        <f t="shared" si="29"/>
        <v>10109.24</v>
      </c>
      <c r="D302" s="74">
        <f t="shared" si="30"/>
        <v>292.35909999999996</v>
      </c>
      <c r="E302" s="74">
        <f>H302/H301*E301</f>
        <v>55.349258082461262</v>
      </c>
      <c r="F302" s="113">
        <f>-(C302-C301)*(B301+B302)/2</f>
        <v>0</v>
      </c>
      <c r="G302" s="115">
        <f t="shared" si="33"/>
        <v>-2.5582958993197735E-4</v>
      </c>
      <c r="H302" s="114">
        <f t="shared" si="34"/>
        <v>7469.47</v>
      </c>
      <c r="K302" s="117">
        <v>40876</v>
      </c>
      <c r="L302">
        <v>28.779800000000002</v>
      </c>
      <c r="M302">
        <v>10109240</v>
      </c>
      <c r="N302">
        <v>302670.59999999998</v>
      </c>
      <c r="O302">
        <v>7732.92</v>
      </c>
    </row>
    <row r="303" spans="1:15">
      <c r="A303" s="118">
        <v>40876</v>
      </c>
      <c r="B303" s="113">
        <f t="shared" si="28"/>
        <v>28.779800000000002</v>
      </c>
      <c r="C303" s="113">
        <f t="shared" si="29"/>
        <v>10109.24</v>
      </c>
      <c r="D303" s="74">
        <f t="shared" si="30"/>
        <v>302.67059999999998</v>
      </c>
      <c r="E303" s="74">
        <f t="shared" ref="E303:E344" si="35">H303/H302*E302</f>
        <v>57.301439702017184</v>
      </c>
      <c r="F303" s="113">
        <f t="shared" ref="F303:F325" si="36">-(C303-C302)*(B302+B303)/2</f>
        <v>0</v>
      </c>
      <c r="G303" s="115">
        <f t="shared" si="33"/>
        <v>2.0200508644840909E-4</v>
      </c>
      <c r="H303" s="114">
        <f t="shared" si="34"/>
        <v>7732.92</v>
      </c>
      <c r="K303" s="117">
        <v>40907</v>
      </c>
      <c r="L303">
        <v>29.942900000000002</v>
      </c>
      <c r="M303">
        <v>10109240</v>
      </c>
      <c r="N303">
        <v>314902.7</v>
      </c>
      <c r="O303">
        <v>8106</v>
      </c>
    </row>
    <row r="304" spans="1:15">
      <c r="A304" s="118">
        <v>40907</v>
      </c>
      <c r="B304" s="113">
        <f t="shared" si="28"/>
        <v>29.942900000000002</v>
      </c>
      <c r="C304" s="113">
        <f t="shared" si="29"/>
        <v>10109.24</v>
      </c>
      <c r="D304" s="74">
        <f t="shared" si="30"/>
        <v>314.90270000000004</v>
      </c>
      <c r="E304" s="74">
        <f>H304/H303*E303</f>
        <v>60.065986745569759</v>
      </c>
      <c r="F304" s="113">
        <f t="shared" si="36"/>
        <v>0</v>
      </c>
      <c r="G304" s="115">
        <f t="shared" si="33"/>
        <v>-4.2276874843594214E-5</v>
      </c>
      <c r="H304" s="114">
        <f t="shared" si="34"/>
        <v>8106</v>
      </c>
      <c r="K304" s="117">
        <v>40936</v>
      </c>
      <c r="L304">
        <v>27.9724</v>
      </c>
      <c r="M304">
        <v>10109240</v>
      </c>
      <c r="N304">
        <v>294178.8</v>
      </c>
      <c r="O304">
        <v>7572.55</v>
      </c>
    </row>
    <row r="305" spans="1:15">
      <c r="A305" s="118">
        <v>40936</v>
      </c>
      <c r="B305" s="113">
        <f t="shared" si="28"/>
        <v>27.9724</v>
      </c>
      <c r="C305" s="113">
        <f t="shared" si="29"/>
        <v>10109.24</v>
      </c>
      <c r="D305" s="74">
        <f t="shared" si="30"/>
        <v>294.17879999999997</v>
      </c>
      <c r="E305" s="74">
        <f t="shared" si="35"/>
        <v>56.113087580824612</v>
      </c>
      <c r="F305" s="113">
        <f t="shared" si="36"/>
        <v>0</v>
      </c>
      <c r="G305" s="115">
        <f t="shared" si="33"/>
        <v>5.9763616754437976E-4</v>
      </c>
      <c r="H305" s="114">
        <f t="shared" si="34"/>
        <v>7572.55</v>
      </c>
      <c r="K305" s="117">
        <v>40967</v>
      </c>
      <c r="L305">
        <v>28.0108</v>
      </c>
      <c r="M305">
        <v>9285130</v>
      </c>
      <c r="N305">
        <v>270568.59999999998</v>
      </c>
      <c r="O305">
        <v>7642.62</v>
      </c>
    </row>
    <row r="306" spans="1:15">
      <c r="A306" s="118">
        <v>40967</v>
      </c>
      <c r="B306" s="113">
        <f t="shared" si="28"/>
        <v>28.0108</v>
      </c>
      <c r="C306" s="113">
        <f t="shared" si="29"/>
        <v>9285.1299999999992</v>
      </c>
      <c r="D306" s="74">
        <f t="shared" si="30"/>
        <v>270.5686</v>
      </c>
      <c r="E306" s="74">
        <f t="shared" si="35"/>
        <v>56.632310834126123</v>
      </c>
      <c r="F306" s="113">
        <f t="shared" si="36"/>
        <v>23068.157476000015</v>
      </c>
      <c r="G306" s="115">
        <f t="shared" si="33"/>
        <v>24.014043285524266</v>
      </c>
      <c r="H306" s="114">
        <f t="shared" si="34"/>
        <v>7642.62</v>
      </c>
      <c r="K306" s="117">
        <v>40998</v>
      </c>
      <c r="L306">
        <v>30.5581</v>
      </c>
      <c r="M306">
        <v>9195655</v>
      </c>
      <c r="N306">
        <v>292329.8</v>
      </c>
      <c r="O306">
        <v>8337.64</v>
      </c>
    </row>
    <row r="307" spans="1:15">
      <c r="A307" s="118">
        <v>40998</v>
      </c>
      <c r="B307" s="113">
        <f t="shared" si="28"/>
        <v>30.5581</v>
      </c>
      <c r="C307" s="113">
        <f t="shared" si="29"/>
        <v>9195.6550000000007</v>
      </c>
      <c r="D307" s="74">
        <f t="shared" si="30"/>
        <v>292.32979999999998</v>
      </c>
      <c r="E307" s="74">
        <f t="shared" si="35"/>
        <v>61.782454198042466</v>
      </c>
      <c r="F307" s="113">
        <f t="shared" si="36"/>
        <v>2620.2261637499573</v>
      </c>
      <c r="G307" s="115">
        <f t="shared" si="33"/>
        <v>2.8442876968883546</v>
      </c>
      <c r="H307" s="114">
        <f t="shared" si="34"/>
        <v>8337.64</v>
      </c>
      <c r="K307" s="117">
        <v>41027</v>
      </c>
      <c r="L307">
        <v>29.558399999999999</v>
      </c>
      <c r="M307">
        <v>9195655</v>
      </c>
      <c r="N307">
        <v>282766.40000000002</v>
      </c>
      <c r="O307">
        <v>8064.88</v>
      </c>
    </row>
    <row r="308" spans="1:15">
      <c r="A308" s="118">
        <v>41027</v>
      </c>
      <c r="B308" s="113">
        <f t="shared" si="28"/>
        <v>29.558399999999999</v>
      </c>
      <c r="C308" s="113">
        <f t="shared" si="29"/>
        <v>9195.6550000000007</v>
      </c>
      <c r="D308" s="74">
        <f t="shared" si="30"/>
        <v>282.76640000000003</v>
      </c>
      <c r="E308" s="74">
        <f t="shared" si="35"/>
        <v>59.761284873502426</v>
      </c>
      <c r="F308" s="113">
        <f t="shared" si="36"/>
        <v>0</v>
      </c>
      <c r="G308" s="115">
        <f t="shared" si="33"/>
        <v>-9.056584021038816E-5</v>
      </c>
      <c r="H308" s="114">
        <f t="shared" si="34"/>
        <v>8064.88</v>
      </c>
      <c r="K308" s="117">
        <v>41059</v>
      </c>
      <c r="L308">
        <v>29.058599999999998</v>
      </c>
      <c r="M308">
        <v>9195655</v>
      </c>
      <c r="N308">
        <v>277984.59999999998</v>
      </c>
      <c r="O308">
        <v>7928.5</v>
      </c>
    </row>
    <row r="309" spans="1:15">
      <c r="A309" s="118">
        <v>41059</v>
      </c>
      <c r="B309" s="113">
        <f t="shared" si="28"/>
        <v>29.058599999999998</v>
      </c>
      <c r="C309" s="113">
        <f t="shared" si="29"/>
        <v>9195.6550000000007</v>
      </c>
      <c r="D309" s="74">
        <f t="shared" si="30"/>
        <v>277.9846</v>
      </c>
      <c r="E309" s="74">
        <f t="shared" si="35"/>
        <v>58.750700211232399</v>
      </c>
      <c r="F309" s="113">
        <f t="shared" si="36"/>
        <v>0</v>
      </c>
      <c r="G309" s="115">
        <f t="shared" si="33"/>
        <v>5.3150373501154036E-4</v>
      </c>
      <c r="H309" s="114">
        <f t="shared" si="34"/>
        <v>7928.5</v>
      </c>
      <c r="K309" s="117">
        <v>41089</v>
      </c>
      <c r="L309">
        <v>30.260100000000001</v>
      </c>
      <c r="M309">
        <v>8961231</v>
      </c>
      <c r="N309">
        <v>282099.5</v>
      </c>
      <c r="O309">
        <v>8318.32</v>
      </c>
    </row>
    <row r="310" spans="1:15">
      <c r="A310" s="118">
        <v>41089</v>
      </c>
      <c r="B310" s="113">
        <f t="shared" si="28"/>
        <v>30.260100000000001</v>
      </c>
      <c r="C310" s="113">
        <f t="shared" si="29"/>
        <v>8961.2309999999998</v>
      </c>
      <c r="D310" s="74">
        <f t="shared" si="30"/>
        <v>282.09949999999998</v>
      </c>
      <c r="E310" s="74">
        <f t="shared" si="35"/>
        <v>61.639291742586707</v>
      </c>
      <c r="F310" s="113">
        <f t="shared" si="36"/>
        <v>6952.8634644000267</v>
      </c>
      <c r="G310" s="115">
        <f t="shared" si="33"/>
        <v>7.3790638144990233</v>
      </c>
      <c r="H310" s="114">
        <f t="shared" si="34"/>
        <v>8318.32</v>
      </c>
      <c r="K310" s="117">
        <v>41118</v>
      </c>
      <c r="L310">
        <v>29.933299999999999</v>
      </c>
      <c r="M310">
        <v>8961231</v>
      </c>
      <c r="N310">
        <v>279052.7</v>
      </c>
      <c r="O310">
        <v>8228.4699999999993</v>
      </c>
    </row>
    <row r="311" spans="1:15">
      <c r="A311" s="118">
        <v>41118</v>
      </c>
      <c r="B311" s="113">
        <f t="shared" si="28"/>
        <v>29.933299999999999</v>
      </c>
      <c r="C311" s="113">
        <f t="shared" si="29"/>
        <v>8961.2309999999998</v>
      </c>
      <c r="D311" s="74">
        <f t="shared" si="30"/>
        <v>279.05270000000002</v>
      </c>
      <c r="E311" s="74">
        <f t="shared" si="35"/>
        <v>60.973497403937621</v>
      </c>
      <c r="F311" s="113">
        <f t="shared" si="36"/>
        <v>0</v>
      </c>
      <c r="G311" s="115">
        <f t="shared" si="33"/>
        <v>2.1004821525405504E-4</v>
      </c>
      <c r="H311" s="114">
        <f t="shared" si="34"/>
        <v>8228.4699999999993</v>
      </c>
      <c r="K311" s="117">
        <v>41151</v>
      </c>
      <c r="L311">
        <v>30.029399999999999</v>
      </c>
      <c r="M311">
        <v>8961231</v>
      </c>
      <c r="N311">
        <v>279948.90000000002</v>
      </c>
      <c r="O311">
        <v>8254.9</v>
      </c>
    </row>
    <row r="312" spans="1:15">
      <c r="A312" s="118">
        <v>41151</v>
      </c>
      <c r="B312" s="113">
        <f t="shared" si="28"/>
        <v>30.029399999999999</v>
      </c>
      <c r="C312" s="113">
        <f t="shared" si="29"/>
        <v>8961.2309999999998</v>
      </c>
      <c r="D312" s="74">
        <f t="shared" si="30"/>
        <v>279.94890000000004</v>
      </c>
      <c r="E312" s="74">
        <f t="shared" si="35"/>
        <v>61.169345421416701</v>
      </c>
      <c r="F312" s="113">
        <f t="shared" si="36"/>
        <v>0</v>
      </c>
      <c r="G312" s="115">
        <f t="shared" si="33"/>
        <v>-3.093207230775441E-4</v>
      </c>
      <c r="H312" s="114">
        <f t="shared" si="34"/>
        <v>8254.9</v>
      </c>
      <c r="K312" s="117">
        <v>41181</v>
      </c>
      <c r="L312">
        <v>28.472200000000001</v>
      </c>
      <c r="M312">
        <v>8846389</v>
      </c>
      <c r="N312">
        <v>262030</v>
      </c>
      <c r="O312">
        <v>7887.34</v>
      </c>
    </row>
    <row r="313" spans="1:15">
      <c r="A313" s="118">
        <v>41181</v>
      </c>
      <c r="B313" s="113">
        <f t="shared" si="28"/>
        <v>28.472200000000001</v>
      </c>
      <c r="C313" s="113">
        <f t="shared" si="29"/>
        <v>8846.3889999999992</v>
      </c>
      <c r="D313" s="74">
        <f t="shared" si="30"/>
        <v>262.02999999999997</v>
      </c>
      <c r="E313" s="74">
        <f t="shared" si="35"/>
        <v>58.445701936565776</v>
      </c>
      <c r="F313" s="113">
        <f t="shared" si="36"/>
        <v>3359.220373600016</v>
      </c>
      <c r="G313" s="115">
        <f t="shared" si="33"/>
        <v>3.4019124118364754</v>
      </c>
      <c r="H313" s="114">
        <f t="shared" si="34"/>
        <v>7887.34</v>
      </c>
      <c r="K313" s="117">
        <v>41212</v>
      </c>
      <c r="L313">
        <v>27.9724</v>
      </c>
      <c r="M313">
        <v>8846389</v>
      </c>
      <c r="N313">
        <v>257429.9</v>
      </c>
      <c r="O313">
        <v>7748.87</v>
      </c>
    </row>
    <row r="314" spans="1:15">
      <c r="A314" s="118">
        <v>41212</v>
      </c>
      <c r="B314" s="113">
        <f t="shared" si="28"/>
        <v>27.9724</v>
      </c>
      <c r="C314" s="113">
        <f t="shared" si="29"/>
        <v>8846.3889999999992</v>
      </c>
      <c r="D314" s="74">
        <f t="shared" si="30"/>
        <v>257.42989999999998</v>
      </c>
      <c r="E314" s="74">
        <f t="shared" si="35"/>
        <v>57.419630238482988</v>
      </c>
      <c r="F314" s="113">
        <f t="shared" si="36"/>
        <v>0</v>
      </c>
      <c r="G314" s="115">
        <f t="shared" si="33"/>
        <v>4.3457196842755508E-4</v>
      </c>
      <c r="H314" s="114">
        <f t="shared" si="34"/>
        <v>7748.87</v>
      </c>
      <c r="K314" s="117">
        <v>41242</v>
      </c>
      <c r="L314">
        <v>29.568000000000001</v>
      </c>
      <c r="M314">
        <v>8846389</v>
      </c>
      <c r="N314">
        <v>272114.90000000002</v>
      </c>
      <c r="O314">
        <v>8190.9</v>
      </c>
    </row>
    <row r="315" spans="1:15">
      <c r="A315" s="118">
        <v>41242</v>
      </c>
      <c r="B315" s="113">
        <f t="shared" si="28"/>
        <v>29.568000000000001</v>
      </c>
      <c r="C315" s="113">
        <f t="shared" si="29"/>
        <v>8846.3889999999992</v>
      </c>
      <c r="D315" s="74">
        <f t="shared" si="30"/>
        <v>272.11490000000003</v>
      </c>
      <c r="E315" s="74">
        <f t="shared" si="35"/>
        <v>60.695101262557024</v>
      </c>
      <c r="F315" s="113">
        <f t="shared" si="36"/>
        <v>0</v>
      </c>
      <c r="G315" s="115">
        <f t="shared" si="33"/>
        <v>-6.9874447677165108E-4</v>
      </c>
      <c r="H315" s="114">
        <f t="shared" si="34"/>
        <v>8190.9</v>
      </c>
      <c r="K315" s="117">
        <v>41272</v>
      </c>
      <c r="L315">
        <v>30.375499999999999</v>
      </c>
      <c r="M315">
        <v>8846389</v>
      </c>
      <c r="N315">
        <v>279545.90000000002</v>
      </c>
      <c r="O315">
        <v>8478.0499999999993</v>
      </c>
    </row>
    <row r="316" spans="1:15">
      <c r="A316" s="118">
        <v>41272</v>
      </c>
      <c r="B316" s="113">
        <f t="shared" si="28"/>
        <v>30.375499999999999</v>
      </c>
      <c r="C316" s="113">
        <f t="shared" si="29"/>
        <v>8846.3889999999992</v>
      </c>
      <c r="D316" s="74">
        <f t="shared" si="30"/>
        <v>279.54590000000002</v>
      </c>
      <c r="E316" s="74">
        <f t="shared" si="35"/>
        <v>62.822901422190668</v>
      </c>
      <c r="F316" s="113">
        <f t="shared" si="36"/>
        <v>0</v>
      </c>
      <c r="G316" s="115">
        <f t="shared" si="33"/>
        <v>4.3877671808267849E-4</v>
      </c>
      <c r="H316" s="114">
        <f t="shared" si="34"/>
        <v>8478.0499999999993</v>
      </c>
      <c r="K316" s="117">
        <v>41304</v>
      </c>
      <c r="L316">
        <v>28.549099999999999</v>
      </c>
      <c r="M316">
        <v>8724782</v>
      </c>
      <c r="N316">
        <v>259125.9</v>
      </c>
      <c r="O316">
        <v>7968.29</v>
      </c>
    </row>
    <row r="317" spans="1:15">
      <c r="A317" s="118">
        <v>41304</v>
      </c>
      <c r="B317" s="113">
        <f t="shared" si="28"/>
        <v>28.549099999999999</v>
      </c>
      <c r="C317" s="113">
        <f t="shared" si="29"/>
        <v>8724.7819999999992</v>
      </c>
      <c r="D317" s="74">
        <f t="shared" si="30"/>
        <v>259.1259</v>
      </c>
      <c r="E317" s="74">
        <f t="shared" si="35"/>
        <v>59.045546696873423</v>
      </c>
      <c r="F317" s="113">
        <f t="shared" si="36"/>
        <v>3582.8219160999988</v>
      </c>
      <c r="G317" s="115">
        <f t="shared" si="33"/>
        <v>3.6116303678951915</v>
      </c>
      <c r="H317" s="114">
        <f t="shared" si="34"/>
        <v>7968.29</v>
      </c>
      <c r="K317" s="117">
        <v>41332</v>
      </c>
      <c r="L317">
        <v>28.654900000000001</v>
      </c>
      <c r="M317">
        <v>8708712</v>
      </c>
      <c r="N317">
        <v>259606.7</v>
      </c>
      <c r="O317">
        <v>8061.74</v>
      </c>
    </row>
    <row r="318" spans="1:15">
      <c r="A318" s="118">
        <v>41332</v>
      </c>
      <c r="B318" s="113">
        <f t="shared" si="28"/>
        <v>28.654900000000001</v>
      </c>
      <c r="C318" s="113">
        <f t="shared" si="29"/>
        <v>8708.7119999999995</v>
      </c>
      <c r="D318" s="74">
        <f t="shared" si="30"/>
        <v>259.60669999999999</v>
      </c>
      <c r="E318" s="74">
        <f t="shared" si="35"/>
        <v>59.738017269458354</v>
      </c>
      <c r="F318" s="113">
        <f t="shared" si="36"/>
        <v>459.6341399999917</v>
      </c>
      <c r="G318" s="115">
        <f t="shared" si="33"/>
        <v>0.47949367720874425</v>
      </c>
      <c r="H318" s="114">
        <f t="shared" si="34"/>
        <v>8061.74</v>
      </c>
      <c r="K318" s="117">
        <v>41363</v>
      </c>
      <c r="L318">
        <v>28.645199999999999</v>
      </c>
      <c r="M318">
        <v>8683962</v>
      </c>
      <c r="N318">
        <v>258782.1</v>
      </c>
      <c r="O318">
        <v>8059.04</v>
      </c>
    </row>
    <row r="319" spans="1:15">
      <c r="A319" s="118">
        <v>41363</v>
      </c>
      <c r="B319" s="113">
        <f t="shared" si="28"/>
        <v>28.645199999999999</v>
      </c>
      <c r="C319" s="113">
        <f t="shared" si="29"/>
        <v>8683.9619999999995</v>
      </c>
      <c r="D319" s="74">
        <f t="shared" si="30"/>
        <v>258.78210000000001</v>
      </c>
      <c r="E319" s="74">
        <f t="shared" si="35"/>
        <v>59.718010094006459</v>
      </c>
      <c r="F319" s="113">
        <f t="shared" si="36"/>
        <v>709.08873749999998</v>
      </c>
      <c r="G319" s="115">
        <f t="shared" si="33"/>
        <v>0.73672026599286045</v>
      </c>
      <c r="H319" s="114">
        <f t="shared" si="34"/>
        <v>8059.04</v>
      </c>
      <c r="K319" s="117">
        <v>41391</v>
      </c>
      <c r="L319">
        <v>27.866599999999998</v>
      </c>
      <c r="M319">
        <v>8683962</v>
      </c>
      <c r="N319">
        <v>251748.1</v>
      </c>
      <c r="O319">
        <v>7839.98</v>
      </c>
    </row>
    <row r="320" spans="1:15">
      <c r="A320" s="118">
        <v>41391</v>
      </c>
      <c r="B320" s="113">
        <f t="shared" si="28"/>
        <v>27.866599999999998</v>
      </c>
      <c r="C320" s="113">
        <f t="shared" si="29"/>
        <v>8683.9619999999995</v>
      </c>
      <c r="D320" s="74">
        <f t="shared" si="30"/>
        <v>251.74809999999999</v>
      </c>
      <c r="E320" s="74">
        <f t="shared" si="35"/>
        <v>58.094761259009601</v>
      </c>
      <c r="F320" s="113">
        <f t="shared" si="36"/>
        <v>0</v>
      </c>
      <c r="G320" s="115">
        <f t="shared" si="33"/>
        <v>9.0547107378213809E-5</v>
      </c>
      <c r="H320" s="114">
        <f t="shared" si="34"/>
        <v>7839.98</v>
      </c>
      <c r="K320" s="117">
        <v>41424</v>
      </c>
      <c r="L320">
        <v>26.318999999999999</v>
      </c>
      <c r="M320">
        <v>8683962</v>
      </c>
      <c r="N320">
        <v>237766.9</v>
      </c>
      <c r="O320">
        <v>7404.58</v>
      </c>
    </row>
    <row r="321" spans="1:15">
      <c r="A321" s="118">
        <v>41424</v>
      </c>
      <c r="B321" s="113">
        <f t="shared" si="28"/>
        <v>26.318999999999999</v>
      </c>
      <c r="C321" s="113">
        <f t="shared" si="29"/>
        <v>8683.9619999999995</v>
      </c>
      <c r="D321" s="74">
        <f t="shared" si="30"/>
        <v>237.76689999999999</v>
      </c>
      <c r="E321" s="74">
        <f t="shared" si="35"/>
        <v>54.868418965767432</v>
      </c>
      <c r="F321" s="113">
        <f t="shared" si="36"/>
        <v>0</v>
      </c>
      <c r="G321" s="115">
        <f t="shared" si="33"/>
        <v>1.1297969614432191E-4</v>
      </c>
      <c r="H321" s="114">
        <f t="shared" si="34"/>
        <v>7404.58</v>
      </c>
      <c r="K321" s="117">
        <v>41454</v>
      </c>
      <c r="L321">
        <v>25.9633</v>
      </c>
      <c r="M321">
        <v>8657945</v>
      </c>
      <c r="N321">
        <v>233851</v>
      </c>
      <c r="O321">
        <v>7365.09</v>
      </c>
    </row>
    <row r="322" spans="1:15">
      <c r="A322" s="118">
        <v>41454</v>
      </c>
      <c r="B322" s="113">
        <f t="shared" si="28"/>
        <v>25.9633</v>
      </c>
      <c r="C322" s="113">
        <f t="shared" si="29"/>
        <v>8657.9449999999997</v>
      </c>
      <c r="D322" s="74">
        <f t="shared" si="30"/>
        <v>233.851</v>
      </c>
      <c r="E322" s="74">
        <f t="shared" si="35"/>
        <v>54.575795499621059</v>
      </c>
      <c r="F322" s="113">
        <f t="shared" si="36"/>
        <v>680.11429954999539</v>
      </c>
      <c r="G322" s="115">
        <f t="shared" si="33"/>
        <v>0.70249195524146923</v>
      </c>
      <c r="H322" s="114">
        <f t="shared" si="34"/>
        <v>7365.09</v>
      </c>
      <c r="K322" s="117">
        <v>41485</v>
      </c>
      <c r="L322">
        <v>24.617599999999999</v>
      </c>
      <c r="M322">
        <v>8657945</v>
      </c>
      <c r="N322">
        <v>221729.9</v>
      </c>
      <c r="O322">
        <v>6983.34</v>
      </c>
    </row>
    <row r="323" spans="1:15">
      <c r="A323" s="118">
        <v>41485</v>
      </c>
      <c r="B323" s="113">
        <f t="shared" si="28"/>
        <v>24.617599999999999</v>
      </c>
      <c r="C323" s="113">
        <f t="shared" si="29"/>
        <v>8657.9449999999997</v>
      </c>
      <c r="D323" s="74">
        <f t="shared" si="30"/>
        <v>221.72989999999999</v>
      </c>
      <c r="E323" s="74">
        <f t="shared" si="35"/>
        <v>51.74700319267297</v>
      </c>
      <c r="F323" s="113">
        <f t="shared" si="36"/>
        <v>0</v>
      </c>
      <c r="G323" s="115">
        <f t="shared" si="33"/>
        <v>4.0306625120578587E-4</v>
      </c>
      <c r="H323" s="114">
        <f t="shared" si="34"/>
        <v>6983.34</v>
      </c>
      <c r="K323" s="117">
        <v>41516</v>
      </c>
      <c r="L323">
        <v>23.598700000000001</v>
      </c>
      <c r="M323">
        <v>8657945</v>
      </c>
      <c r="N323">
        <v>212552.6</v>
      </c>
      <c r="O323">
        <v>6694.3</v>
      </c>
    </row>
    <row r="324" spans="1:15">
      <c r="A324" s="118">
        <v>41516</v>
      </c>
      <c r="B324" s="113">
        <f t="shared" si="28"/>
        <v>23.598700000000001</v>
      </c>
      <c r="C324" s="113">
        <f t="shared" si="29"/>
        <v>8657.9449999999997</v>
      </c>
      <c r="D324" s="74">
        <f t="shared" si="30"/>
        <v>212.55260000000001</v>
      </c>
      <c r="E324" s="74">
        <f t="shared" si="35"/>
        <v>49.605198010222999</v>
      </c>
      <c r="F324" s="113">
        <f t="shared" si="36"/>
        <v>0</v>
      </c>
      <c r="G324" s="115">
        <f t="shared" si="33"/>
        <v>1.0177149680323794E-4</v>
      </c>
      <c r="H324" s="114">
        <f t="shared" si="34"/>
        <v>6694.3</v>
      </c>
      <c r="K324" s="117">
        <v>41545</v>
      </c>
      <c r="L324">
        <v>23.242999999999999</v>
      </c>
      <c r="M324">
        <v>8657945</v>
      </c>
      <c r="N324">
        <v>209349</v>
      </c>
      <c r="O324">
        <v>6659.54</v>
      </c>
    </row>
    <row r="325" spans="1:15">
      <c r="A325" s="118">
        <v>41545</v>
      </c>
      <c r="B325" s="113">
        <f t="shared" ref="B325:B344" si="37">L324</f>
        <v>23.242999999999999</v>
      </c>
      <c r="C325" s="113">
        <f t="shared" ref="C325:C344" si="38">M324/1000</f>
        <v>8657.9449999999997</v>
      </c>
      <c r="D325" s="74">
        <f t="shared" ref="D325:D344" si="39">N324/1000</f>
        <v>209.34899999999999</v>
      </c>
      <c r="E325" s="74">
        <f t="shared" si="35"/>
        <v>49.347624151442339</v>
      </c>
      <c r="F325" s="113">
        <f t="shared" si="36"/>
        <v>0</v>
      </c>
      <c r="G325" s="115">
        <f t="shared" ref="G325:G344" si="40">-((D325-D324)-D324*(B325/B324-1))</f>
        <v>-1.7647158530031959E-4</v>
      </c>
      <c r="H325" s="114">
        <f t="shared" ref="H325:H344" si="41">O324</f>
        <v>6659.54</v>
      </c>
      <c r="K325" s="117">
        <v>41577</v>
      </c>
      <c r="L325">
        <v>19.378799999999998</v>
      </c>
      <c r="M325">
        <v>8672084</v>
      </c>
      <c r="N325">
        <v>174829.2</v>
      </c>
      <c r="O325">
        <v>5552.37</v>
      </c>
    </row>
    <row r="326" spans="1:15" ht="15" customHeight="1">
      <c r="A326" s="117">
        <v>41577</v>
      </c>
      <c r="B326" s="113">
        <f t="shared" si="37"/>
        <v>19.378799999999998</v>
      </c>
      <c r="C326" s="113">
        <f t="shared" si="38"/>
        <v>8672.0840000000007</v>
      </c>
      <c r="D326" s="74">
        <f t="shared" si="39"/>
        <v>174.82920000000001</v>
      </c>
      <c r="E326" s="74">
        <f t="shared" si="35"/>
        <v>41.14342250511956</v>
      </c>
      <c r="G326" s="115">
        <f t="shared" si="40"/>
        <v>-0.28493285720436035</v>
      </c>
      <c r="H326" s="114">
        <f t="shared" si="41"/>
        <v>5552.37</v>
      </c>
      <c r="K326" s="117">
        <v>41607</v>
      </c>
      <c r="L326">
        <v>17.581299999999999</v>
      </c>
      <c r="M326">
        <v>8672084</v>
      </c>
      <c r="N326">
        <v>158612.29999999999</v>
      </c>
      <c r="O326">
        <v>5037.34</v>
      </c>
    </row>
    <row r="327" spans="1:15">
      <c r="A327" s="117">
        <v>41607</v>
      </c>
      <c r="B327" s="113">
        <f t="shared" si="37"/>
        <v>17.581299999999999</v>
      </c>
      <c r="C327" s="113">
        <f t="shared" si="38"/>
        <v>8672.0840000000007</v>
      </c>
      <c r="D327" s="74">
        <f t="shared" si="39"/>
        <v>158.61229999999998</v>
      </c>
      <c r="E327" s="74">
        <f t="shared" si="35"/>
        <v>37.327016737346206</v>
      </c>
      <c r="G327" s="115">
        <f t="shared" si="40"/>
        <v>4.4247941053399131E-4</v>
      </c>
      <c r="H327" s="114">
        <f t="shared" si="41"/>
        <v>5037.34</v>
      </c>
      <c r="K327" s="117">
        <v>41636</v>
      </c>
      <c r="L327">
        <v>16.773800000000001</v>
      </c>
      <c r="M327">
        <v>8672084</v>
      </c>
      <c r="N327">
        <v>151327.79999999999</v>
      </c>
      <c r="O327">
        <v>4839.08</v>
      </c>
    </row>
    <row r="328" spans="1:15">
      <c r="A328" s="117">
        <v>41636</v>
      </c>
      <c r="B328" s="113">
        <f t="shared" si="37"/>
        <v>16.773800000000001</v>
      </c>
      <c r="C328" s="113">
        <f t="shared" si="38"/>
        <v>8672.0840000000007</v>
      </c>
      <c r="D328" s="74">
        <f t="shared" si="39"/>
        <v>151.3278</v>
      </c>
      <c r="E328" s="74">
        <f t="shared" si="35"/>
        <v>35.857897253978742</v>
      </c>
      <c r="G328" s="115">
        <f t="shared" si="40"/>
        <v>-4.8076080835102175E-4</v>
      </c>
      <c r="H328" s="114">
        <f t="shared" si="41"/>
        <v>4839.08</v>
      </c>
      <c r="K328" s="117">
        <v>41669</v>
      </c>
      <c r="L328">
        <v>15.5434</v>
      </c>
      <c r="M328">
        <v>8682575</v>
      </c>
      <c r="N328">
        <v>140397.20000000001</v>
      </c>
      <c r="O328">
        <v>4484.12</v>
      </c>
    </row>
    <row r="329" spans="1:15">
      <c r="A329" s="117">
        <v>41669</v>
      </c>
      <c r="B329" s="113">
        <f t="shared" si="37"/>
        <v>15.5434</v>
      </c>
      <c r="C329" s="113">
        <f t="shared" si="38"/>
        <v>8682.5750000000007</v>
      </c>
      <c r="D329" s="74">
        <f t="shared" si="39"/>
        <v>140.3972</v>
      </c>
      <c r="E329" s="74">
        <f t="shared" si="35"/>
        <v>33.22762058790331</v>
      </c>
      <c r="G329" s="115">
        <f t="shared" si="40"/>
        <v>-0.16967096543420546</v>
      </c>
      <c r="H329" s="114">
        <f t="shared" si="41"/>
        <v>4484.12</v>
      </c>
      <c r="K329" s="100">
        <v>41697</v>
      </c>
      <c r="L329">
        <v>13.5632</v>
      </c>
      <c r="M329">
        <v>8683512</v>
      </c>
      <c r="N329">
        <v>122524.3</v>
      </c>
      <c r="O329">
        <v>3945.27</v>
      </c>
    </row>
    <row r="330" spans="1:15">
      <c r="A330" s="100">
        <v>41697</v>
      </c>
      <c r="B330" s="113">
        <f t="shared" si="37"/>
        <v>13.5632</v>
      </c>
      <c r="C330" s="113">
        <f t="shared" si="38"/>
        <v>8683.5120000000006</v>
      </c>
      <c r="D330" s="74">
        <f t="shared" si="39"/>
        <v>122.5243</v>
      </c>
      <c r="E330" s="74">
        <f t="shared" si="35"/>
        <v>29.234707072254377</v>
      </c>
      <c r="G330" s="115">
        <f t="shared" si="40"/>
        <v>-1.3439889599446531E-2</v>
      </c>
      <c r="H330" s="114">
        <f t="shared" si="41"/>
        <v>3945.27</v>
      </c>
      <c r="K330" s="117">
        <v>41727</v>
      </c>
      <c r="L330">
        <v>12.957599999999999</v>
      </c>
      <c r="M330">
        <v>8683512</v>
      </c>
      <c r="N330">
        <v>117053.7</v>
      </c>
      <c r="O330">
        <v>3769.11</v>
      </c>
    </row>
    <row r="331" spans="1:15" ht="15">
      <c r="A331" s="117">
        <v>41727</v>
      </c>
      <c r="B331" s="113">
        <f t="shared" si="37"/>
        <v>12.957599999999999</v>
      </c>
      <c r="C331" s="113">
        <f t="shared" si="38"/>
        <v>8683.5120000000006</v>
      </c>
      <c r="D331" s="74">
        <f t="shared" si="39"/>
        <v>117.05369999999999</v>
      </c>
      <c r="E331" s="74">
        <f t="shared" si="35"/>
        <v>27.929350024993145</v>
      </c>
      <c r="G331" s="115">
        <f t="shared" si="40"/>
        <v>-1.3817978059016411E-4</v>
      </c>
      <c r="H331" s="114">
        <f t="shared" si="41"/>
        <v>3769.11</v>
      </c>
      <c r="I331" s="116"/>
      <c r="K331" s="117">
        <v>41758</v>
      </c>
      <c r="L331">
        <v>13.524800000000001</v>
      </c>
      <c r="M331">
        <v>8685337</v>
      </c>
      <c r="N331">
        <v>122202.6</v>
      </c>
      <c r="O331">
        <v>3934.08</v>
      </c>
    </row>
    <row r="332" spans="1:15" ht="15">
      <c r="A332" s="117">
        <v>41758</v>
      </c>
      <c r="B332" s="113">
        <f t="shared" si="37"/>
        <v>13.524800000000001</v>
      </c>
      <c r="C332" s="113">
        <f t="shared" si="38"/>
        <v>8685.3369999999995</v>
      </c>
      <c r="D332" s="74">
        <f t="shared" si="39"/>
        <v>122.2026</v>
      </c>
      <c r="E332" s="74">
        <f t="shared" si="35"/>
        <v>29.151788445103755</v>
      </c>
      <c r="F332" s="116"/>
      <c r="G332" s="115">
        <f t="shared" si="40"/>
        <v>-2.5045378773841165E-2</v>
      </c>
      <c r="H332" s="114">
        <f t="shared" si="41"/>
        <v>3934.08</v>
      </c>
      <c r="I332" s="116"/>
      <c r="K332" s="117">
        <v>41789</v>
      </c>
      <c r="L332">
        <v>13.5344</v>
      </c>
      <c r="M332">
        <v>8685337</v>
      </c>
      <c r="N332">
        <v>122289.5</v>
      </c>
      <c r="O332">
        <v>3936.88</v>
      </c>
    </row>
    <row r="333" spans="1:15" ht="15">
      <c r="A333" s="117">
        <v>41789</v>
      </c>
      <c r="B333" s="113">
        <f t="shared" si="37"/>
        <v>13.5344</v>
      </c>
      <c r="C333" s="113">
        <f t="shared" si="38"/>
        <v>8685.3369999999995</v>
      </c>
      <c r="D333" s="74">
        <f t="shared" si="39"/>
        <v>122.2895</v>
      </c>
      <c r="E333" s="74">
        <f t="shared" si="35"/>
        <v>29.172536627053866</v>
      </c>
      <c r="G333" s="115">
        <f t="shared" si="40"/>
        <v>-1.5971844316517436E-4</v>
      </c>
      <c r="H333" s="114">
        <f t="shared" si="41"/>
        <v>3936.88</v>
      </c>
      <c r="I333" s="116"/>
      <c r="K333" s="117">
        <v>41818</v>
      </c>
      <c r="L333">
        <v>13.082599999999999</v>
      </c>
      <c r="M333">
        <v>8685337</v>
      </c>
      <c r="N333">
        <v>118207.4</v>
      </c>
      <c r="O333">
        <v>3839.8</v>
      </c>
    </row>
    <row r="334" spans="1:15">
      <c r="A334" s="117">
        <v>41818</v>
      </c>
      <c r="B334" s="113">
        <f t="shared" si="37"/>
        <v>13.082599999999999</v>
      </c>
      <c r="C334" s="113">
        <f t="shared" si="38"/>
        <v>8685.3369999999995</v>
      </c>
      <c r="D334" s="74">
        <f t="shared" si="39"/>
        <v>118.20739999999999</v>
      </c>
      <c r="E334" s="74">
        <f t="shared" si="35"/>
        <v>28.453167518583609</v>
      </c>
      <c r="G334" s="115">
        <f t="shared" si="40"/>
        <v>-1.19832426988431E-4</v>
      </c>
      <c r="H334" s="114">
        <f t="shared" si="41"/>
        <v>3839.8</v>
      </c>
      <c r="K334" s="117">
        <v>41850</v>
      </c>
      <c r="L334">
        <v>13.101800000000001</v>
      </c>
      <c r="M334">
        <v>8691079</v>
      </c>
      <c r="N334">
        <v>118459.4</v>
      </c>
      <c r="O334">
        <v>3845.44</v>
      </c>
    </row>
    <row r="335" spans="1:15">
      <c r="A335" s="117">
        <v>41850</v>
      </c>
      <c r="B335" s="113">
        <f t="shared" si="37"/>
        <v>13.101800000000001</v>
      </c>
      <c r="C335" s="113">
        <f t="shared" si="38"/>
        <v>8691.0789999999997</v>
      </c>
      <c r="D335" s="74">
        <f t="shared" si="39"/>
        <v>118.45939999999999</v>
      </c>
      <c r="E335" s="74">
        <f t="shared" si="35"/>
        <v>28.494960285083117</v>
      </c>
      <c r="G335" s="115">
        <f t="shared" si="40"/>
        <v>-7.8519034442666086E-2</v>
      </c>
      <c r="H335" s="114">
        <f t="shared" si="41"/>
        <v>3845.44</v>
      </c>
      <c r="K335" s="117">
        <v>41881</v>
      </c>
      <c r="L335">
        <v>12.438599999999999</v>
      </c>
      <c r="M335">
        <v>8691079</v>
      </c>
      <c r="N335">
        <v>112462.5</v>
      </c>
      <c r="O335">
        <v>3650.77</v>
      </c>
    </row>
    <row r="336" spans="1:15">
      <c r="A336" s="117">
        <v>41881</v>
      </c>
      <c r="B336" s="113">
        <f t="shared" si="37"/>
        <v>12.438599999999999</v>
      </c>
      <c r="C336" s="113">
        <f t="shared" si="38"/>
        <v>8691.0789999999997</v>
      </c>
      <c r="D336" s="74">
        <f t="shared" si="39"/>
        <v>112.46250000000001</v>
      </c>
      <c r="E336" s="74">
        <f t="shared" si="35"/>
        <v>27.052442935001686</v>
      </c>
      <c r="G336" s="115">
        <f t="shared" si="40"/>
        <v>6.0375978869675606E-4</v>
      </c>
      <c r="H336" s="114">
        <f t="shared" si="41"/>
        <v>3650.77</v>
      </c>
      <c r="K336" s="117">
        <v>41909</v>
      </c>
      <c r="L336">
        <v>10.852499999999999</v>
      </c>
      <c r="M336">
        <v>8691079</v>
      </c>
      <c r="N336">
        <v>98122.25</v>
      </c>
      <c r="O336">
        <v>3215.4</v>
      </c>
    </row>
    <row r="337" spans="1:15">
      <c r="A337" s="117">
        <v>41909</v>
      </c>
      <c r="B337" s="113">
        <f t="shared" si="37"/>
        <v>10.852499999999999</v>
      </c>
      <c r="C337" s="113">
        <f t="shared" si="38"/>
        <v>8691.0789999999997</v>
      </c>
      <c r="D337" s="74">
        <f t="shared" si="39"/>
        <v>98.122249999999994</v>
      </c>
      <c r="E337" s="74">
        <f t="shared" si="35"/>
        <v>23.826322943708977</v>
      </c>
      <c r="G337" s="115">
        <f t="shared" si="40"/>
        <v>-3.3264193718096635E-4</v>
      </c>
      <c r="H337" s="114">
        <f t="shared" si="41"/>
        <v>3215.4</v>
      </c>
      <c r="K337" s="117">
        <v>41942</v>
      </c>
      <c r="L337">
        <v>9.7086000000000006</v>
      </c>
      <c r="M337">
        <v>8698114</v>
      </c>
      <c r="N337">
        <v>87850.880000000005</v>
      </c>
      <c r="O337">
        <v>2876.49</v>
      </c>
    </row>
    <row r="338" spans="1:15">
      <c r="A338" s="117">
        <v>41942</v>
      </c>
      <c r="B338" s="113">
        <f t="shared" si="37"/>
        <v>9.7086000000000006</v>
      </c>
      <c r="C338" s="113">
        <f t="shared" si="38"/>
        <v>8698.1139999999996</v>
      </c>
      <c r="D338" s="74">
        <f t="shared" si="39"/>
        <v>87.850880000000004</v>
      </c>
      <c r="E338" s="74">
        <f t="shared" si="35"/>
        <v>21.314977820597569</v>
      </c>
      <c r="G338" s="115">
        <f t="shared" si="40"/>
        <v>-7.1135577055979837E-2</v>
      </c>
      <c r="H338" s="114">
        <f t="shared" si="41"/>
        <v>2876.49</v>
      </c>
      <c r="K338" s="117">
        <v>41972</v>
      </c>
      <c r="L338">
        <v>7.2093999999999996</v>
      </c>
      <c r="M338">
        <v>8698114</v>
      </c>
      <c r="N338">
        <v>65235.839999999997</v>
      </c>
      <c r="O338">
        <v>2136</v>
      </c>
    </row>
    <row r="339" spans="1:15">
      <c r="A339" s="117">
        <v>41972</v>
      </c>
      <c r="B339" s="113">
        <f t="shared" si="37"/>
        <v>7.2093999999999996</v>
      </c>
      <c r="C339" s="113">
        <f t="shared" si="38"/>
        <v>8698.1139999999996</v>
      </c>
      <c r="D339" s="74">
        <f t="shared" si="39"/>
        <v>65.235839999999996</v>
      </c>
      <c r="E339" s="74">
        <f t="shared" si="35"/>
        <v>15.8278988019414</v>
      </c>
      <c r="G339" s="115">
        <f t="shared" si="40"/>
        <v>3.5618400181647303E-4</v>
      </c>
      <c r="H339" s="114">
        <f t="shared" si="41"/>
        <v>2136</v>
      </c>
      <c r="K339" s="117">
        <v>42003</v>
      </c>
      <c r="L339">
        <v>7.2766999999999999</v>
      </c>
      <c r="M339">
        <v>8698114</v>
      </c>
      <c r="N339">
        <v>65844.69</v>
      </c>
      <c r="O339">
        <v>2158.7600000000002</v>
      </c>
    </row>
    <row r="340" spans="1:15">
      <c r="A340" s="117">
        <v>42003</v>
      </c>
      <c r="B340" s="113">
        <f t="shared" si="37"/>
        <v>7.2766999999999999</v>
      </c>
      <c r="C340" s="113">
        <f t="shared" si="38"/>
        <v>8698.1139999999996</v>
      </c>
      <c r="D340" s="74">
        <f t="shared" si="39"/>
        <v>65.84469</v>
      </c>
      <c r="E340" s="74">
        <f t="shared" si="35"/>
        <v>15.996551880935872</v>
      </c>
      <c r="G340" s="115">
        <f t="shared" si="40"/>
        <v>1.2883762864779325E-4</v>
      </c>
      <c r="H340" s="114">
        <f t="shared" si="41"/>
        <v>2158.7600000000002</v>
      </c>
      <c r="K340" s="117">
        <v>42034</v>
      </c>
      <c r="L340">
        <v>9.7662999999999993</v>
      </c>
      <c r="M340">
        <v>8705080</v>
      </c>
      <c r="N340">
        <v>88443.56</v>
      </c>
      <c r="O340">
        <v>2897.35</v>
      </c>
    </row>
    <row r="341" spans="1:15">
      <c r="A341" s="117">
        <v>42034</v>
      </c>
      <c r="B341" s="113">
        <f t="shared" si="37"/>
        <v>9.7662999999999993</v>
      </c>
      <c r="C341" s="113">
        <f t="shared" si="38"/>
        <v>8705.08</v>
      </c>
      <c r="D341" s="74">
        <f t="shared" si="39"/>
        <v>88.443559999999991</v>
      </c>
      <c r="E341" s="74">
        <f t="shared" si="35"/>
        <v>21.469551776125897</v>
      </c>
      <c r="G341" s="115">
        <f t="shared" si="40"/>
        <v>-7.1221447221947898E-2</v>
      </c>
      <c r="H341" s="114">
        <f t="shared" si="41"/>
        <v>2897.35</v>
      </c>
      <c r="K341" s="117">
        <v>42062</v>
      </c>
      <c r="L341">
        <v>10.39</v>
      </c>
      <c r="M341">
        <v>8698114</v>
      </c>
      <c r="N341">
        <v>90373.38</v>
      </c>
      <c r="O341">
        <v>3082.38</v>
      </c>
    </row>
    <row r="342" spans="1:15">
      <c r="A342" s="117">
        <v>42062</v>
      </c>
      <c r="B342" s="113">
        <f t="shared" si="37"/>
        <v>10.39</v>
      </c>
      <c r="C342" s="113">
        <f t="shared" si="38"/>
        <v>8698.1139999999996</v>
      </c>
      <c r="D342" s="74">
        <f t="shared" si="39"/>
        <v>90.373380000000012</v>
      </c>
      <c r="E342" s="74">
        <f t="shared" si="35"/>
        <v>22.840636099779093</v>
      </c>
      <c r="G342" s="115">
        <f t="shared" si="40"/>
        <v>3.7184038280617964</v>
      </c>
      <c r="H342" s="114">
        <f t="shared" si="41"/>
        <v>3082.38</v>
      </c>
      <c r="K342" s="117">
        <v>42091</v>
      </c>
      <c r="L342">
        <v>9.99</v>
      </c>
      <c r="M342">
        <v>8709637</v>
      </c>
      <c r="N342">
        <v>87009.19</v>
      </c>
      <c r="O342">
        <v>2966.81</v>
      </c>
    </row>
    <row r="343" spans="1:15">
      <c r="A343" s="117">
        <v>42091</v>
      </c>
      <c r="B343" s="113">
        <f t="shared" si="37"/>
        <v>9.99</v>
      </c>
      <c r="C343" s="113">
        <f t="shared" si="38"/>
        <v>8709.6370000000006</v>
      </c>
      <c r="D343" s="74">
        <f t="shared" si="39"/>
        <v>87.009190000000004</v>
      </c>
      <c r="E343" s="74">
        <f t="shared" si="35"/>
        <v>21.984254889788282</v>
      </c>
      <c r="G343" s="115">
        <f t="shared" si="40"/>
        <v>-0.1150546583253127</v>
      </c>
      <c r="H343" s="114">
        <f t="shared" si="41"/>
        <v>2966.81</v>
      </c>
      <c r="K343" s="117">
        <v>42123</v>
      </c>
      <c r="L343">
        <v>10.17</v>
      </c>
      <c r="M343">
        <v>8720808</v>
      </c>
      <c r="N343">
        <v>88690.559999999998</v>
      </c>
      <c r="O343">
        <v>3020.27</v>
      </c>
    </row>
    <row r="344" spans="1:15">
      <c r="A344" s="95">
        <v>42123</v>
      </c>
      <c r="B344" s="113">
        <f t="shared" si="37"/>
        <v>10.17</v>
      </c>
      <c r="C344" s="113">
        <f t="shared" si="38"/>
        <v>8720.8080000000009</v>
      </c>
      <c r="D344" s="74">
        <f t="shared" si="39"/>
        <v>88.690559999999991</v>
      </c>
      <c r="E344" s="74">
        <f t="shared" si="35"/>
        <v>22.380396963735752</v>
      </c>
      <c r="G344" s="115">
        <f t="shared" si="40"/>
        <v>-0.11363684684683051</v>
      </c>
      <c r="H344" s="114">
        <f t="shared" si="41"/>
        <v>3020.27</v>
      </c>
      <c r="K344" s="117"/>
    </row>
    <row r="345" spans="1:15">
      <c r="K345" s="117"/>
    </row>
    <row r="346" spans="1:15">
      <c r="K346" s="117"/>
    </row>
    <row r="347" spans="1:15">
      <c r="K347" s="117"/>
    </row>
    <row r="348" spans="1:15">
      <c r="K348" s="117"/>
    </row>
    <row r="349" spans="1:15">
      <c r="K349" s="117"/>
    </row>
    <row r="350" spans="1:15">
      <c r="K350" s="117"/>
    </row>
    <row r="351" spans="1:15">
      <c r="K351" s="117"/>
    </row>
    <row r="352" spans="1:15">
      <c r="K352" s="117"/>
    </row>
    <row r="353" spans="11:11">
      <c r="K353" s="117"/>
    </row>
    <row r="354" spans="11:11">
      <c r="K354" s="117"/>
    </row>
    <row r="355" spans="11:11">
      <c r="K355" s="117"/>
    </row>
    <row r="356" spans="11:11">
      <c r="K356" s="117"/>
    </row>
    <row r="357" spans="11:11">
      <c r="K357" s="117"/>
    </row>
    <row r="358" spans="11:11">
      <c r="K358" s="117"/>
    </row>
    <row r="359" spans="11:11">
      <c r="K359" s="117"/>
    </row>
    <row r="360" spans="11:11">
      <c r="K360" s="117"/>
    </row>
    <row r="361" spans="11:11">
      <c r="K361" s="117"/>
    </row>
    <row r="362" spans="11:11">
      <c r="K362" s="117"/>
    </row>
    <row r="363" spans="11:11">
      <c r="K363" s="117"/>
    </row>
    <row r="364" spans="11:11">
      <c r="K364" s="117"/>
    </row>
    <row r="365" spans="11:11">
      <c r="K365" s="117"/>
    </row>
    <row r="366" spans="11:11">
      <c r="K366" s="117"/>
    </row>
    <row r="862" spans="1:9" ht="15">
      <c r="B862" s="95">
        <f>B278/B4</f>
        <v>5.4677619410292673</v>
      </c>
      <c r="C862" s="95">
        <f>C278/C4</f>
        <v>11.53014743507193</v>
      </c>
      <c r="D862" s="95">
        <f>D278/D4</f>
        <v>5.2531240515420849</v>
      </c>
      <c r="E862" s="95">
        <f>E278/E4</f>
        <v>10.161665349823432</v>
      </c>
      <c r="H862" s="95">
        <f>H278/H4</f>
        <v>10.161665349823437</v>
      </c>
      <c r="I862" s="116"/>
    </row>
    <row r="863" spans="1:9" ht="15">
      <c r="I863" s="116"/>
    </row>
    <row r="864" spans="1:9" ht="15">
      <c r="A864" s="101" t="s">
        <v>95</v>
      </c>
      <c r="F864" t="s">
        <v>94</v>
      </c>
      <c r="G864" t="s">
        <v>94</v>
      </c>
      <c r="H864" t="s">
        <v>41</v>
      </c>
      <c r="I864" s="116"/>
    </row>
    <row r="865" spans="1:9" ht="15">
      <c r="A865" s="72">
        <v>1991</v>
      </c>
      <c r="B865" s="97"/>
      <c r="C865" s="97"/>
      <c r="D865" s="97"/>
      <c r="E865" s="97"/>
      <c r="F865" s="99">
        <f>SUM(F$5:F$16)</f>
        <v>61.083177750000104</v>
      </c>
      <c r="G865" s="98">
        <f>SUM(G$5:G$16)</f>
        <v>0.76655425490626627</v>
      </c>
      <c r="H865" s="98">
        <f t="shared" ref="H865:H886" si="42">F865-G865</f>
        <v>60.316623495093836</v>
      </c>
      <c r="I865" s="116"/>
    </row>
    <row r="866" spans="1:9" ht="15">
      <c r="A866" s="72">
        <v>1992</v>
      </c>
      <c r="B866" s="97"/>
      <c r="C866" s="97"/>
      <c r="D866" s="97"/>
      <c r="E866" s="97"/>
      <c r="F866" s="99">
        <f>SUM(F$17:F$28)</f>
        <v>77.381071499999976</v>
      </c>
      <c r="G866" s="98">
        <f>SUM(G$17:G$28)</f>
        <v>0.97443594821878088</v>
      </c>
      <c r="H866" s="98">
        <f t="shared" si="42"/>
        <v>76.406635551781193</v>
      </c>
      <c r="I866" s="116"/>
    </row>
    <row r="867" spans="1:9" ht="15">
      <c r="A867" s="72">
        <v>1993</v>
      </c>
      <c r="B867" s="97"/>
      <c r="C867" s="97"/>
      <c r="D867" s="97"/>
      <c r="E867" s="97"/>
      <c r="F867" s="99">
        <f>SUM(F$29:F$40)</f>
        <v>9.1551477500003742</v>
      </c>
      <c r="G867" s="98">
        <f>SUM(G$29:G$40)</f>
        <v>0.11928252754381485</v>
      </c>
      <c r="H867" s="98">
        <f t="shared" si="42"/>
        <v>9.0358652224565592</v>
      </c>
      <c r="I867" s="116"/>
    </row>
    <row r="868" spans="1:9" ht="15">
      <c r="A868" s="72">
        <v>1994</v>
      </c>
      <c r="B868" s="97"/>
      <c r="C868" s="97"/>
      <c r="D868" s="97"/>
      <c r="E868" s="97"/>
      <c r="F868" s="99">
        <f>SUM(F$41:F$52)</f>
        <v>-6683.0831738000015</v>
      </c>
      <c r="G868" s="98">
        <f>SUM(G$41:G$52)</f>
        <v>-0.19091436146114282</v>
      </c>
      <c r="H868" s="98">
        <f t="shared" si="42"/>
        <v>-6682.8922594385403</v>
      </c>
      <c r="I868" s="116"/>
    </row>
    <row r="869" spans="1:9" ht="15">
      <c r="A869" s="72">
        <v>1995</v>
      </c>
      <c r="B869" s="97"/>
      <c r="C869" s="97"/>
      <c r="D869" s="97"/>
      <c r="E869" s="97"/>
      <c r="F869" s="99">
        <f>SUM(F$53:F$64)</f>
        <v>383.56230240000184</v>
      </c>
      <c r="G869" s="98">
        <f>SUM(G$53:G$64)</f>
        <v>2.4562717659788653</v>
      </c>
      <c r="H869" s="98">
        <f t="shared" si="42"/>
        <v>381.106030634023</v>
      </c>
      <c r="I869" s="116"/>
    </row>
    <row r="870" spans="1:9">
      <c r="A870" s="72">
        <v>1996</v>
      </c>
      <c r="B870" s="97"/>
      <c r="C870" s="97"/>
      <c r="D870" s="97"/>
      <c r="E870" s="97"/>
      <c r="F870" s="99">
        <f>SUM(F$65:F$76)</f>
        <v>330.88845559999726</v>
      </c>
      <c r="G870" s="98">
        <f>SUM(G$65:G$76)</f>
        <v>2.0784153781573336</v>
      </c>
      <c r="H870" s="98">
        <f t="shared" si="42"/>
        <v>328.81004022183993</v>
      </c>
    </row>
    <row r="871" spans="1:9">
      <c r="A871" s="72">
        <v>1997</v>
      </c>
      <c r="B871" s="97"/>
      <c r="C871" s="97"/>
      <c r="D871" s="97"/>
      <c r="E871" s="97"/>
      <c r="F871" s="99">
        <f>SUM(F$77:F$88)</f>
        <v>-30215.681455400001</v>
      </c>
      <c r="G871" s="98">
        <f>SUM(G$77:G$88)</f>
        <v>1.1262631054119674</v>
      </c>
      <c r="H871" s="98">
        <f t="shared" si="42"/>
        <v>-30216.807718505414</v>
      </c>
    </row>
    <row r="872" spans="1:9">
      <c r="A872" s="72">
        <v>1998</v>
      </c>
      <c r="B872" s="97"/>
      <c r="C872" s="97"/>
      <c r="D872" s="97"/>
      <c r="E872" s="97"/>
      <c r="F872" s="99">
        <f>SUM(F$89:F$100)</f>
        <v>-139.3310311499979</v>
      </c>
      <c r="G872" s="98">
        <f>SUM(G$89:G$100)</f>
        <v>-0.49705630757323638</v>
      </c>
      <c r="H872" s="98">
        <f t="shared" si="42"/>
        <v>-138.83397484242465</v>
      </c>
    </row>
    <row r="873" spans="1:9">
      <c r="A873" s="72">
        <v>1999</v>
      </c>
      <c r="B873" s="97"/>
      <c r="C873" s="97"/>
      <c r="D873" s="97"/>
      <c r="E873" s="97"/>
      <c r="F873" s="99">
        <f>SUM(F$101:F$112)</f>
        <v>-69.530953399993081</v>
      </c>
      <c r="G873" s="98">
        <f>SUM(G$101:G$112)</f>
        <v>-0.26379882121571185</v>
      </c>
      <c r="H873" s="98">
        <f t="shared" si="42"/>
        <v>-69.267154578777365</v>
      </c>
    </row>
    <row r="874" spans="1:9">
      <c r="A874" s="72">
        <v>2000</v>
      </c>
      <c r="B874" s="97"/>
      <c r="C874" s="97"/>
      <c r="D874" s="97"/>
      <c r="E874" s="97"/>
      <c r="F874" s="99">
        <f>SUM(F$113:F$124)</f>
        <v>-334717.14182319999</v>
      </c>
      <c r="G874" s="98">
        <f>SUM(G$113:G$124)</f>
        <v>-3.9670240412569635</v>
      </c>
      <c r="H874" s="98">
        <f t="shared" si="42"/>
        <v>-334713.1747991587</v>
      </c>
    </row>
    <row r="875" spans="1:9">
      <c r="A875" s="72">
        <v>2001</v>
      </c>
      <c r="B875" s="97"/>
      <c r="C875" s="97"/>
      <c r="E875" s="97"/>
      <c r="F875" s="99">
        <f>SUM(F$125:F$136)</f>
        <v>-841.02297074999672</v>
      </c>
      <c r="G875" s="98">
        <f>SUM(G$125:G$136)</f>
        <v>-0.84554728577243221</v>
      </c>
      <c r="H875" s="98">
        <f t="shared" si="42"/>
        <v>-840.17742346422426</v>
      </c>
    </row>
    <row r="876" spans="1:9" ht="15">
      <c r="A876" s="72">
        <v>2002</v>
      </c>
      <c r="B876" s="97"/>
      <c r="C876" s="97"/>
      <c r="D876" s="116"/>
      <c r="E876" s="97"/>
      <c r="F876" s="99">
        <f>SUM(F$137:F$148)</f>
        <v>-719.7330104500096</v>
      </c>
      <c r="G876" s="98">
        <f>SUM(G$137:G$148)</f>
        <v>-0.72678829208331663</v>
      </c>
      <c r="H876" s="98">
        <f t="shared" si="42"/>
        <v>-719.00622215792623</v>
      </c>
    </row>
    <row r="877" spans="1:9">
      <c r="A877" s="72">
        <v>2003</v>
      </c>
      <c r="B877" s="97"/>
      <c r="C877" s="97"/>
      <c r="D877" s="97"/>
      <c r="E877" s="97"/>
      <c r="F877" s="99">
        <f>SUM(F$149:F$160)</f>
        <v>-2960.7620877000345</v>
      </c>
      <c r="G877" s="98">
        <f>SUM(G$149:G$160)</f>
        <v>-3.1291798780045252</v>
      </c>
      <c r="H877" s="98">
        <f t="shared" si="42"/>
        <v>-2957.6329078220301</v>
      </c>
    </row>
    <row r="878" spans="1:9">
      <c r="A878" s="72">
        <v>2004</v>
      </c>
      <c r="B878" s="97"/>
      <c r="C878" s="97"/>
      <c r="E878" s="97"/>
      <c r="F878" s="99">
        <f>SUM(F$161:F$172)</f>
        <v>-15552.777494499947</v>
      </c>
      <c r="G878" s="98">
        <f>SUM(G$161:G$172)</f>
        <v>-16.265627225686565</v>
      </c>
      <c r="H878" s="98">
        <f t="shared" si="42"/>
        <v>-15536.511867274261</v>
      </c>
    </row>
    <row r="879" spans="1:9">
      <c r="A879" s="72">
        <v>2005</v>
      </c>
      <c r="B879" s="97"/>
      <c r="C879" s="97"/>
      <c r="E879" s="97"/>
      <c r="F879" s="99">
        <f>SUM(F$173:F$184)</f>
        <v>136.93351549997817</v>
      </c>
      <c r="G879" s="98">
        <f>SUM(G$173:G$184)</f>
        <v>0.14951506172843909</v>
      </c>
      <c r="H879" s="98">
        <f t="shared" si="42"/>
        <v>136.78400043824973</v>
      </c>
    </row>
    <row r="880" spans="1:9">
      <c r="A880" s="72">
        <v>2006</v>
      </c>
      <c r="B880" s="97"/>
      <c r="C880" s="97"/>
      <c r="E880" s="97"/>
      <c r="F880" s="99">
        <f>SUM(F$185:F$196)</f>
        <v>8256.100461999984</v>
      </c>
      <c r="G880" s="98">
        <f>SUM(G$185:G$196)</f>
        <v>8.5710550275962465</v>
      </c>
      <c r="H880" s="98">
        <f t="shared" si="42"/>
        <v>8247.5294069723877</v>
      </c>
    </row>
    <row r="881" spans="1:8">
      <c r="A881" s="72">
        <v>2007</v>
      </c>
      <c r="B881" s="97"/>
      <c r="C881" s="97"/>
      <c r="E881" s="97"/>
      <c r="F881" s="99">
        <f>SUM(F$197:F$208)</f>
        <v>7785.4473875000458</v>
      </c>
      <c r="G881" s="98">
        <f>SUM(G$197:G$208)</f>
        <v>8.0744459365026078</v>
      </c>
      <c r="H881" s="98">
        <f t="shared" si="42"/>
        <v>7777.3729415635435</v>
      </c>
    </row>
    <row r="882" spans="1:8">
      <c r="A882" s="72">
        <v>2008</v>
      </c>
      <c r="B882" s="97"/>
      <c r="C882" s="97"/>
      <c r="E882" s="97"/>
      <c r="F882" s="99">
        <f>SUM(F$209:F$220)</f>
        <v>4927.687684099973</v>
      </c>
      <c r="G882" s="98">
        <f>SUM(G$209:G$220)</f>
        <v>4.9984194265450004</v>
      </c>
      <c r="H882" s="98">
        <f t="shared" si="42"/>
        <v>4922.6892646734277</v>
      </c>
    </row>
    <row r="883" spans="1:8">
      <c r="A883" s="72">
        <v>2009</v>
      </c>
      <c r="B883" s="97"/>
      <c r="C883" s="97"/>
      <c r="E883" s="97"/>
      <c r="F883" s="99">
        <f>SUM(F$221:F$232)</f>
        <v>-9250.447580399994</v>
      </c>
      <c r="G883" s="98">
        <f>SUM(G$221:G$232)</f>
        <v>-8.4084934890453109</v>
      </c>
      <c r="H883" s="98">
        <f t="shared" si="42"/>
        <v>-9242.0390869109488</v>
      </c>
    </row>
    <row r="884" spans="1:8">
      <c r="A884" s="72">
        <v>2010</v>
      </c>
      <c r="B884" s="97"/>
      <c r="C884" s="97"/>
      <c r="E884" s="97"/>
      <c r="F884" s="99">
        <f>SUM(F$233:F$244)</f>
        <v>-123.58519899999465</v>
      </c>
      <c r="G884" s="98">
        <f>SUM(G$233:G$244)</f>
        <v>-9.9243860991623523E-2</v>
      </c>
      <c r="H884" s="98">
        <f t="shared" si="42"/>
        <v>-123.48595513900302</v>
      </c>
    </row>
    <row r="885" spans="1:8">
      <c r="A885" s="72">
        <v>2011</v>
      </c>
      <c r="B885" s="97"/>
      <c r="C885" s="97"/>
      <c r="D885" s="97"/>
      <c r="E885" s="97"/>
      <c r="F885" s="99">
        <f>SUM(F$245:F$256)</f>
        <v>1664.5614964999804</v>
      </c>
      <c r="G885" s="98">
        <f>SUM(G$245:G$256)</f>
        <v>1.7414749869049349</v>
      </c>
      <c r="H885" s="98">
        <f t="shared" si="42"/>
        <v>1662.8200215130755</v>
      </c>
    </row>
    <row r="886" spans="1:8">
      <c r="A886" s="72">
        <v>2012</v>
      </c>
      <c r="B886" s="97"/>
      <c r="C886" s="97"/>
      <c r="E886" s="97"/>
      <c r="F886" s="99">
        <f>SUM(F$257:F$268)</f>
        <v>1554.9314995000218</v>
      </c>
      <c r="G886" s="98">
        <f>SUM(G$257:G$268)</f>
        <v>1.5560041406746268</v>
      </c>
      <c r="H886" s="98">
        <f t="shared" si="42"/>
        <v>1553.3754953593473</v>
      </c>
    </row>
    <row r="887" spans="1:8">
      <c r="A887" s="72">
        <v>2013</v>
      </c>
      <c r="B887" s="97"/>
      <c r="C887" s="97"/>
      <c r="E887" s="97"/>
      <c r="F887" s="99">
        <f>SUM(F269:F280)</f>
        <v>8270.2128964999665</v>
      </c>
      <c r="G887" s="99">
        <f>SUM(G269:G280)</f>
        <v>8.7621265924828506</v>
      </c>
      <c r="H887" s="99">
        <f>SUM(H269:H280)</f>
        <v>69276.649999999994</v>
      </c>
    </row>
    <row r="888" spans="1:8">
      <c r="A888" s="72">
        <v>2014</v>
      </c>
      <c r="B888" s="97"/>
      <c r="C888" s="97"/>
      <c r="E888" s="97"/>
      <c r="F888" s="99">
        <f>SUM(F281:F292)</f>
        <v>1816.0657485000074</v>
      </c>
      <c r="G888" s="99">
        <f>SUM(G281:G292)</f>
        <v>1.9078456308638017</v>
      </c>
      <c r="H888" s="99">
        <f>SUM(H281:H292)</f>
        <v>76766.62000000001</v>
      </c>
    </row>
    <row r="889" spans="1:8">
      <c r="A889" s="72">
        <v>2015</v>
      </c>
      <c r="B889" s="97"/>
      <c r="C889" s="97"/>
      <c r="E889" s="97"/>
      <c r="F889" s="99">
        <f>SUM(F293:F302)</f>
        <v>-1651.1614344999828</v>
      </c>
      <c r="G889" s="99">
        <f>SUM(G293:G302)</f>
        <v>-1.7350935072062745</v>
      </c>
      <c r="H889" s="99">
        <f>SUM(H293:H302)</f>
        <v>66515.849999999991</v>
      </c>
    </row>
    <row r="890" spans="1:8">
      <c r="A890" s="97"/>
      <c r="B890" s="97"/>
      <c r="C890" s="97"/>
      <c r="E890" s="97"/>
      <c r="F890" s="96">
        <f>SUM(F865:F889)</f>
        <v>-367650.24736914999</v>
      </c>
      <c r="G890" s="96">
        <f t="shared" ref="G890:H890" si="43">SUM(G865:G889)</f>
        <v>7.153342713218434</v>
      </c>
      <c r="H890" s="96">
        <f t="shared" si="43"/>
        <v>-163524.463043647</v>
      </c>
    </row>
    <row r="892" spans="1:8" ht="15">
      <c r="B892" t="s">
        <v>93</v>
      </c>
      <c r="C892" s="116"/>
      <c r="E892" s="116"/>
      <c r="F892" s="116"/>
      <c r="G892" s="116"/>
      <c r="H892" s="116"/>
    </row>
  </sheetData>
  <dataValidations count="1">
    <dataValidation allowBlank="1" showErrorMessage="1" promptTitle="TRAFO" prompt="$K$2:$O$343" sqref="K2"/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XLDataChannel1">
          <controlPr defaultSize="0" print="0" autoLine="0" linkedCell="K2" r:id="rId5">
            <anchor moveWithCells="1">
              <from>
                <xdr:col>10</xdr:col>
                <xdr:colOff>0</xdr:colOff>
                <xdr:row>1</xdr:row>
                <xdr:rowOff>0</xdr:rowOff>
              </from>
              <to>
                <xdr:col>10</xdr:col>
                <xdr:colOff>619125</xdr:colOff>
                <xdr:row>2</xdr:row>
                <xdr:rowOff>0</xdr:rowOff>
              </to>
            </anchor>
          </controlPr>
        </control>
      </mc:Choice>
      <mc:Fallback>
        <control shapeId="1025" r:id="rId4" name="XLDataChannel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"/>
  <sheetViews>
    <sheetView topLeftCell="A82" zoomScaleNormal="100" workbookViewId="0">
      <selection activeCell="A7" sqref="A7"/>
    </sheetView>
  </sheetViews>
  <sheetFormatPr defaultColWidth="9.140625" defaultRowHeight="12.75"/>
  <cols>
    <col min="1" max="1" width="23.5703125" style="8" customWidth="1"/>
    <col min="2" max="14" width="6.85546875" customWidth="1"/>
    <col min="15" max="15" width="8.5703125" customWidth="1"/>
    <col min="16" max="16" width="7.7109375" customWidth="1"/>
    <col min="17" max="17" width="8" customWidth="1"/>
    <col min="18" max="18" width="8.42578125" customWidth="1"/>
    <col min="19" max="19" width="8.28515625" customWidth="1"/>
    <col min="20" max="20" width="6.85546875" customWidth="1"/>
    <col min="21" max="21" width="7.7109375" customWidth="1"/>
    <col min="22" max="22" width="7.85546875" customWidth="1"/>
    <col min="23" max="23" width="7.5703125" customWidth="1"/>
    <col min="24" max="24" width="7.7109375" customWidth="1"/>
    <col min="26" max="26" width="9.140625" style="4"/>
    <col min="27" max="29" width="6.42578125" style="4" customWidth="1"/>
  </cols>
  <sheetData>
    <row r="1" spans="1:29" s="1" customFormat="1" ht="13.5">
      <c r="A1" s="7" t="s">
        <v>73</v>
      </c>
      <c r="Z1" s="6"/>
      <c r="AA1" s="6"/>
      <c r="AB1" s="6"/>
      <c r="AC1" s="6"/>
    </row>
    <row r="2" spans="1:29" s="1" customFormat="1" ht="13.5">
      <c r="A2" s="7" t="s">
        <v>0</v>
      </c>
      <c r="B2" s="1" t="s">
        <v>90</v>
      </c>
      <c r="Q2"/>
      <c r="R2"/>
      <c r="S2"/>
      <c r="T2"/>
      <c r="U2"/>
      <c r="V2"/>
      <c r="W2"/>
      <c r="X2"/>
      <c r="Z2" s="6"/>
      <c r="AA2" s="6"/>
      <c r="AB2" s="6"/>
      <c r="AC2" s="6"/>
    </row>
    <row r="3" spans="1:29" s="1" customFormat="1" ht="13.5">
      <c r="A3" s="7"/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3" t="s">
        <v>1</v>
      </c>
      <c r="N3" s="3" t="s">
        <v>2</v>
      </c>
      <c r="O3" s="3" t="s">
        <v>4</v>
      </c>
      <c r="P3" s="3" t="s">
        <v>5</v>
      </c>
      <c r="Q3" s="3">
        <v>2005</v>
      </c>
      <c r="R3" s="3">
        <v>2006</v>
      </c>
      <c r="S3" s="3">
        <v>2007</v>
      </c>
      <c r="T3" s="3">
        <v>2008</v>
      </c>
      <c r="U3" s="3">
        <v>2009</v>
      </c>
      <c r="V3" s="3">
        <v>2010</v>
      </c>
      <c r="W3" s="3">
        <v>2011</v>
      </c>
      <c r="X3" s="3">
        <v>2012</v>
      </c>
      <c r="Y3" s="3">
        <v>2013</v>
      </c>
      <c r="Z3" s="3">
        <v>2014</v>
      </c>
      <c r="AA3" s="6"/>
      <c r="AB3" s="6"/>
      <c r="AC3" s="6"/>
    </row>
    <row r="4" spans="1:29" s="1" customFormat="1" ht="13.5">
      <c r="A4" s="12" t="s">
        <v>14</v>
      </c>
      <c r="B4" s="72">
        <v>50344.880000000005</v>
      </c>
      <c r="C4" s="72">
        <v>66294.25</v>
      </c>
      <c r="D4" s="72">
        <v>73020.25</v>
      </c>
      <c r="E4" s="72">
        <v>89451.5</v>
      </c>
      <c r="F4" s="72">
        <v>87192.63</v>
      </c>
      <c r="G4" s="72">
        <v>120259.8</v>
      </c>
      <c r="H4" s="72">
        <v>162789.80000000002</v>
      </c>
      <c r="I4" s="72">
        <v>240136.1</v>
      </c>
      <c r="J4" s="72">
        <v>334236.90000000002</v>
      </c>
      <c r="K4" s="72">
        <v>507216.3</v>
      </c>
      <c r="L4" s="72">
        <v>475003.10000000003</v>
      </c>
      <c r="M4" s="72">
        <v>397889.2</v>
      </c>
      <c r="N4" s="72">
        <v>242269.5</v>
      </c>
      <c r="O4" s="72">
        <v>311755.3</v>
      </c>
      <c r="P4" s="72">
        <v>385882.8</v>
      </c>
      <c r="Q4" s="72">
        <v>370343.7</v>
      </c>
      <c r="R4" s="72">
        <v>383564.3</v>
      </c>
      <c r="S4" s="72">
        <v>374636.9</v>
      </c>
      <c r="T4" s="72">
        <v>161278.30000000002</v>
      </c>
      <c r="U4" s="72">
        <v>161096.5</v>
      </c>
      <c r="V4" s="72">
        <v>194874.7</v>
      </c>
      <c r="W4" s="72">
        <v>189082</v>
      </c>
      <c r="X4" s="72">
        <v>220107.2</v>
      </c>
      <c r="Y4" s="108">
        <v>283589.8</v>
      </c>
      <c r="Z4" s="108">
        <v>253766.2</v>
      </c>
      <c r="AA4" s="6"/>
      <c r="AB4" s="6"/>
      <c r="AC4" s="6"/>
    </row>
    <row r="5" spans="1:29" s="1" customFormat="1" ht="13.5">
      <c r="A5" s="12" t="s">
        <v>15</v>
      </c>
      <c r="B5" s="72">
        <v>21794.320346320346</v>
      </c>
      <c r="C5" s="72">
        <v>21735.819672131147</v>
      </c>
      <c r="D5" s="72">
        <v>23403.926282051281</v>
      </c>
      <c r="E5" s="72">
        <v>25778.530259365994</v>
      </c>
      <c r="F5" s="72">
        <v>26422.00909090909</v>
      </c>
      <c r="G5" s="72">
        <v>29693.777777777781</v>
      </c>
      <c r="H5" s="72">
        <v>31185.785440613032</v>
      </c>
      <c r="I5" s="72">
        <v>34502.313218390809</v>
      </c>
      <c r="J5" s="72">
        <v>38955.34965034965</v>
      </c>
      <c r="K5" s="72">
        <v>42480.427135678394</v>
      </c>
      <c r="L5" s="72">
        <v>50371.484623541895</v>
      </c>
      <c r="M5" s="72">
        <v>54805.674931129477</v>
      </c>
      <c r="N5" s="72">
        <v>63587.79527559055</v>
      </c>
      <c r="O5" s="72">
        <v>79125.710659898468</v>
      </c>
      <c r="P5" s="72">
        <v>110252.22857142857</v>
      </c>
      <c r="Q5" s="72">
        <v>110221.33928571429</v>
      </c>
      <c r="R5" s="72">
        <v>112813.0294117647</v>
      </c>
      <c r="S5" s="72">
        <v>117074.03125</v>
      </c>
      <c r="T5" s="72">
        <v>98943.742331288347</v>
      </c>
      <c r="U5" s="72">
        <v>116736.59420289854</v>
      </c>
      <c r="V5" s="72">
        <v>119555.03067484662</v>
      </c>
      <c r="W5" s="72">
        <v>116001.22699386503</v>
      </c>
      <c r="X5" s="72">
        <v>123655.73033707865</v>
      </c>
      <c r="Y5" s="100">
        <v>131303.22786000001</v>
      </c>
      <c r="Z5" s="100">
        <v>134967.0336</v>
      </c>
      <c r="AA5" s="6"/>
      <c r="AB5" s="6"/>
      <c r="AC5" s="6"/>
    </row>
    <row r="6" spans="1:29" s="1" customFormat="1" ht="13.5">
      <c r="A6" s="14" t="s">
        <v>16</v>
      </c>
      <c r="B6" s="72">
        <v>620.16999999999996</v>
      </c>
      <c r="C6" s="72">
        <v>851.94</v>
      </c>
      <c r="D6" s="72">
        <v>980.55000000000007</v>
      </c>
      <c r="E6" s="72">
        <v>1235.95</v>
      </c>
      <c r="F6" s="72">
        <v>1238.51</v>
      </c>
      <c r="G6" s="72">
        <v>1797.46</v>
      </c>
      <c r="H6" s="72">
        <v>2521.48</v>
      </c>
      <c r="I6" s="72">
        <v>3806.12</v>
      </c>
      <c r="J6" s="72">
        <v>5366.35</v>
      </c>
      <c r="K6" s="72">
        <v>8240.6200000000008</v>
      </c>
      <c r="L6" s="72">
        <v>7746.77</v>
      </c>
      <c r="M6" s="72">
        <v>6579.63</v>
      </c>
      <c r="N6" s="72">
        <v>4098.6499999999996</v>
      </c>
      <c r="O6" s="72">
        <v>5358.92</v>
      </c>
      <c r="P6" s="72">
        <v>6467.25</v>
      </c>
      <c r="Q6" s="72">
        <v>6374.6500000000005</v>
      </c>
      <c r="R6" s="72">
        <v>6970.81</v>
      </c>
      <c r="S6" s="72">
        <v>7158.14</v>
      </c>
      <c r="T6" s="72">
        <v>3294.14</v>
      </c>
      <c r="U6" s="72">
        <v>3237.94</v>
      </c>
      <c r="V6" s="72">
        <v>4023.8</v>
      </c>
      <c r="W6" s="72">
        <v>4074.6</v>
      </c>
      <c r="X6" s="72">
        <v>4940.3</v>
      </c>
      <c r="Y6" s="72">
        <v>6812.03</v>
      </c>
      <c r="Z6" s="72">
        <v>6355.71</v>
      </c>
      <c r="AA6" s="6"/>
      <c r="AB6" s="6"/>
      <c r="AC6" s="6"/>
    </row>
    <row r="7" spans="1:29" s="1" customFormat="1" ht="13.5">
      <c r="A7" s="14" t="s">
        <v>17</v>
      </c>
      <c r="B7" s="72">
        <v>1678</v>
      </c>
      <c r="C7" s="72">
        <v>1780</v>
      </c>
      <c r="D7" s="72">
        <v>1925</v>
      </c>
      <c r="E7" s="72">
        <v>2153</v>
      </c>
      <c r="F7" s="72">
        <v>2462</v>
      </c>
      <c r="G7" s="72">
        <v>2770</v>
      </c>
      <c r="H7" s="72">
        <v>3050</v>
      </c>
      <c r="I7" s="72">
        <v>3411</v>
      </c>
      <c r="J7" s="72">
        <v>3913</v>
      </c>
      <c r="K7" s="72">
        <v>4587</v>
      </c>
      <c r="L7" s="72">
        <v>5401</v>
      </c>
      <c r="M7" s="72">
        <v>6358</v>
      </c>
      <c r="N7" s="72">
        <v>7157</v>
      </c>
      <c r="O7" s="72">
        <v>7643</v>
      </c>
      <c r="P7" s="72">
        <v>8278</v>
      </c>
      <c r="Q7" s="72">
        <v>9352</v>
      </c>
      <c r="R7" s="72">
        <v>10420</v>
      </c>
      <c r="S7" s="72">
        <v>11492</v>
      </c>
      <c r="T7" s="72">
        <v>12408</v>
      </c>
      <c r="U7" s="72">
        <v>8986</v>
      </c>
      <c r="V7" s="72">
        <v>4790</v>
      </c>
      <c r="W7" s="72">
        <v>6458</v>
      </c>
      <c r="X7" s="108">
        <v>7340.4100000000008</v>
      </c>
      <c r="Y7" s="108">
        <v>7992.7223000000004</v>
      </c>
      <c r="Z7" s="108">
        <v>8937.5491000000002</v>
      </c>
      <c r="AA7" s="6"/>
      <c r="AB7" s="6"/>
      <c r="AC7" s="6"/>
    </row>
    <row r="8" spans="1:29" s="1" customFormat="1" ht="13.5">
      <c r="A8" s="14" t="s">
        <v>18</v>
      </c>
      <c r="B8" s="72" t="s">
        <v>7</v>
      </c>
      <c r="C8" s="72" t="s">
        <v>7</v>
      </c>
      <c r="D8" s="72" t="s">
        <v>7</v>
      </c>
      <c r="E8" s="72" t="s">
        <v>7</v>
      </c>
      <c r="F8" s="72" t="s">
        <v>7</v>
      </c>
      <c r="G8" s="72" t="s">
        <v>7</v>
      </c>
      <c r="H8" s="72" t="s">
        <v>7</v>
      </c>
      <c r="I8" s="72" t="s">
        <v>7</v>
      </c>
      <c r="J8" s="72" t="s">
        <v>7</v>
      </c>
      <c r="K8" s="72" t="s">
        <v>7</v>
      </c>
      <c r="L8" s="72" t="s">
        <v>7</v>
      </c>
      <c r="M8" s="72" t="s">
        <v>7</v>
      </c>
      <c r="N8" s="72">
        <v>2000</v>
      </c>
      <c r="O8" s="72" t="s">
        <v>7</v>
      </c>
      <c r="P8" s="72" t="s">
        <v>7</v>
      </c>
      <c r="Q8" s="72">
        <v>5300</v>
      </c>
      <c r="R8" s="72">
        <v>7800</v>
      </c>
      <c r="S8" s="72">
        <v>13900</v>
      </c>
      <c r="T8" s="72">
        <v>3100</v>
      </c>
      <c r="U8" s="72" t="s">
        <v>7</v>
      </c>
      <c r="V8" s="72" t="s">
        <v>7</v>
      </c>
      <c r="W8" s="72">
        <v>3300</v>
      </c>
      <c r="X8" s="72" t="s">
        <v>7</v>
      </c>
      <c r="Y8" s="107" t="s">
        <v>7</v>
      </c>
      <c r="Z8" s="107" t="s">
        <v>7</v>
      </c>
      <c r="AA8" s="6"/>
      <c r="AB8" s="6"/>
      <c r="AC8" s="6"/>
    </row>
    <row r="9" spans="1:29" s="1" customFormat="1" ht="13.5">
      <c r="A9" s="14" t="s">
        <v>19</v>
      </c>
      <c r="B9" s="72"/>
      <c r="C9" s="72"/>
      <c r="D9" s="73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107"/>
      <c r="Z9" s="107"/>
      <c r="AA9" s="6"/>
      <c r="AB9" s="6"/>
      <c r="AC9" s="6"/>
    </row>
    <row r="10" spans="1:29" s="1" customFormat="1" ht="13.5">
      <c r="A10" s="14" t="s">
        <v>74</v>
      </c>
      <c r="B10" s="72">
        <v>877471</v>
      </c>
      <c r="C10" s="72">
        <v>866592</v>
      </c>
      <c r="D10" s="72">
        <v>854039</v>
      </c>
      <c r="E10" s="72">
        <v>852935</v>
      </c>
      <c r="F10" s="72">
        <v>1709660</v>
      </c>
      <c r="G10" s="72">
        <v>1670274</v>
      </c>
      <c r="H10" s="72">
        <v>1646420</v>
      </c>
      <c r="I10" s="72">
        <v>3272724</v>
      </c>
      <c r="J10" s="72">
        <v>3276833</v>
      </c>
      <c r="K10" s="72">
        <v>3277649</v>
      </c>
      <c r="L10" s="72">
        <v>9908800</v>
      </c>
      <c r="M10" s="72">
        <v>9927380</v>
      </c>
      <c r="N10" s="72">
        <v>9949470</v>
      </c>
      <c r="O10" s="72">
        <v>10063120</v>
      </c>
      <c r="P10" s="72">
        <v>10572130</v>
      </c>
      <c r="Q10" s="72">
        <v>10566160</v>
      </c>
      <c r="R10" s="72">
        <v>10308100</v>
      </c>
      <c r="S10" s="72">
        <v>10106210</v>
      </c>
      <c r="T10" s="72">
        <v>9955456</v>
      </c>
      <c r="U10" s="72">
        <v>10647490</v>
      </c>
      <c r="V10" s="72">
        <v>10654720</v>
      </c>
      <c r="W10" s="72">
        <v>10557350</v>
      </c>
      <c r="X10" s="72">
        <v>10486300</v>
      </c>
      <c r="Y10" s="107">
        <v>10117370</v>
      </c>
      <c r="Z10" s="107">
        <v>10042190</v>
      </c>
      <c r="AA10" s="6"/>
      <c r="AB10" s="6"/>
      <c r="AC10" s="6"/>
    </row>
    <row r="11" spans="1:29" s="1" customFormat="1" ht="13.5">
      <c r="A11" s="14" t="s">
        <v>75</v>
      </c>
      <c r="B11" s="74">
        <v>4.7808000000000002</v>
      </c>
      <c r="C11" s="74">
        <v>6.3744000000000005</v>
      </c>
      <c r="D11" s="74">
        <v>7.1243000000000007</v>
      </c>
      <c r="E11" s="74">
        <v>8.7386999999999997</v>
      </c>
      <c r="F11" s="74">
        <v>8.4991000000000003</v>
      </c>
      <c r="G11" s="74">
        <v>11.998800000000001</v>
      </c>
      <c r="H11" s="74">
        <v>16.477499999999999</v>
      </c>
      <c r="I11" s="74">
        <v>24.4559</v>
      </c>
      <c r="J11" s="74">
        <v>33.996600000000001</v>
      </c>
      <c r="K11" s="74">
        <v>51.578200000000002</v>
      </c>
      <c r="L11" s="74">
        <v>47.9375</v>
      </c>
      <c r="M11" s="74">
        <v>40.080000000000005</v>
      </c>
      <c r="N11" s="74">
        <v>24.35</v>
      </c>
      <c r="O11" s="74">
        <v>30.98</v>
      </c>
      <c r="P11" s="74">
        <v>36.5</v>
      </c>
      <c r="Q11" s="74">
        <v>35.050000000000004</v>
      </c>
      <c r="R11" s="74">
        <v>37.21</v>
      </c>
      <c r="S11" s="74">
        <v>37.07</v>
      </c>
      <c r="T11" s="74">
        <v>16.2</v>
      </c>
      <c r="U11" s="74">
        <v>15.13</v>
      </c>
      <c r="V11" s="74">
        <v>18.29</v>
      </c>
      <c r="W11" s="74">
        <v>17.91</v>
      </c>
      <c r="X11" s="74">
        <v>20.990000000000002</v>
      </c>
      <c r="Y11" s="107">
        <v>28.03</v>
      </c>
      <c r="Z11" s="107">
        <v>25.27</v>
      </c>
      <c r="AA11" s="6"/>
      <c r="AB11" s="6"/>
      <c r="AC11" s="6"/>
    </row>
    <row r="12" spans="1:29" s="1" customFormat="1" ht="13.5">
      <c r="A12" s="14" t="s">
        <v>9</v>
      </c>
      <c r="B12" s="74">
        <v>8.0730000000000004</v>
      </c>
      <c r="C12" s="74">
        <v>6.6980000000000004</v>
      </c>
      <c r="D12" s="74">
        <v>6.6840000000000002</v>
      </c>
      <c r="E12" s="74">
        <v>5.7949999999999999</v>
      </c>
      <c r="F12" s="74">
        <v>7.835</v>
      </c>
      <c r="G12" s="74">
        <v>5.5750000000000002</v>
      </c>
      <c r="H12" s="74">
        <v>6.4169999999999998</v>
      </c>
      <c r="I12" s="74">
        <v>5.7380000000000004</v>
      </c>
      <c r="J12" s="74">
        <v>4.6470000000000002</v>
      </c>
      <c r="K12" s="74">
        <v>6.4340000000000002</v>
      </c>
      <c r="L12" s="74">
        <v>5.1050000000000004</v>
      </c>
      <c r="M12" s="74">
        <v>5.04</v>
      </c>
      <c r="N12" s="74">
        <v>3.8280000000000003</v>
      </c>
      <c r="O12" s="74">
        <v>4.2640000000000002</v>
      </c>
      <c r="P12" s="74">
        <v>4.218</v>
      </c>
      <c r="Q12" s="74">
        <v>4.3979999999999997</v>
      </c>
      <c r="R12" s="74">
        <v>4.71</v>
      </c>
      <c r="S12" s="74">
        <v>4.0339999999999998</v>
      </c>
      <c r="T12" s="74">
        <v>2.2509999999999999</v>
      </c>
      <c r="U12" s="74">
        <v>3.835</v>
      </c>
      <c r="V12" s="74">
        <v>3.3080000000000003</v>
      </c>
      <c r="W12" s="74">
        <v>1.875</v>
      </c>
      <c r="X12" s="74">
        <v>1.75</v>
      </c>
      <c r="Y12" s="107">
        <v>3.0070000000000001</v>
      </c>
      <c r="Z12" s="107">
        <v>2.1750000000000003</v>
      </c>
      <c r="AA12" s="6"/>
      <c r="AB12" s="6"/>
      <c r="AC12" s="6"/>
    </row>
    <row r="13" spans="1:29" s="1" customFormat="1" ht="13.5">
      <c r="A13" s="14" t="s">
        <v>10</v>
      </c>
      <c r="B13" s="72"/>
      <c r="C13" s="72"/>
      <c r="D13" s="73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107"/>
      <c r="Z13" s="107"/>
      <c r="AA13" s="6"/>
      <c r="AB13" s="6"/>
      <c r="AC13" s="6"/>
    </row>
    <row r="14" spans="1:29" s="1" customFormat="1" ht="13.5">
      <c r="A14" s="91" t="s">
        <v>20</v>
      </c>
      <c r="B14" s="72">
        <v>4303</v>
      </c>
      <c r="C14" s="72">
        <v>4435</v>
      </c>
      <c r="D14" s="72">
        <v>4725</v>
      </c>
      <c r="E14" s="72">
        <v>4424</v>
      </c>
      <c r="F14" s="72">
        <v>4726</v>
      </c>
      <c r="G14" s="72">
        <v>6573</v>
      </c>
      <c r="H14" s="72">
        <v>7280</v>
      </c>
      <c r="I14" s="72">
        <v>8203</v>
      </c>
      <c r="J14" s="72">
        <v>9296</v>
      </c>
      <c r="K14" s="72">
        <v>10717</v>
      </c>
      <c r="L14" s="72">
        <v>12735</v>
      </c>
      <c r="M14" s="72">
        <v>14128</v>
      </c>
      <c r="N14" s="72">
        <v>15133</v>
      </c>
      <c r="O14" s="72">
        <v>15589</v>
      </c>
      <c r="P14" s="72">
        <v>16593</v>
      </c>
      <c r="Q14" s="72">
        <v>16353</v>
      </c>
      <c r="R14" s="72">
        <v>20666</v>
      </c>
      <c r="S14" s="72">
        <v>22468</v>
      </c>
      <c r="T14" s="72">
        <v>18089</v>
      </c>
      <c r="U14" s="72">
        <v>10725</v>
      </c>
      <c r="V14" s="72">
        <v>12504</v>
      </c>
      <c r="W14" s="72">
        <v>13077</v>
      </c>
      <c r="X14" s="72">
        <v>14217</v>
      </c>
      <c r="Y14" s="107">
        <v>13040</v>
      </c>
      <c r="Z14" s="107" t="s">
        <v>7</v>
      </c>
      <c r="AA14" s="6"/>
      <c r="AB14" s="6"/>
      <c r="AC14" s="6"/>
    </row>
    <row r="15" spans="1:29" s="1" customFormat="1" ht="13.5">
      <c r="A15" s="7"/>
      <c r="Z15" s="6"/>
      <c r="AA15" s="6"/>
      <c r="AB15" s="6"/>
      <c r="AC15" s="6"/>
    </row>
    <row r="16" spans="1:29" s="1" customFormat="1" ht="13.5">
      <c r="A16" s="7"/>
      <c r="Z16" s="6"/>
      <c r="AA16" s="6"/>
      <c r="AB16" s="6"/>
      <c r="AC16" s="6"/>
    </row>
    <row r="17" spans="1:32" s="8" customFormat="1" ht="13.5">
      <c r="A17" s="7" t="s">
        <v>28</v>
      </c>
      <c r="B17" s="1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AB17" s="6" t="s">
        <v>30</v>
      </c>
      <c r="AC17" s="6"/>
      <c r="AD17" s="6"/>
      <c r="AE17" s="6"/>
    </row>
    <row r="18" spans="1:32" s="8" customFormat="1" ht="13.5">
      <c r="A18" s="7"/>
      <c r="B18" s="2">
        <v>1990</v>
      </c>
      <c r="C18" s="2">
        <v>1991</v>
      </c>
      <c r="D18" s="2">
        <v>1992</v>
      </c>
      <c r="E18" s="2">
        <v>1993</v>
      </c>
      <c r="F18" s="2">
        <v>1994</v>
      </c>
      <c r="G18" s="2">
        <v>1995</v>
      </c>
      <c r="H18" s="2">
        <v>1996</v>
      </c>
      <c r="I18" s="2">
        <v>1997</v>
      </c>
      <c r="J18" s="2">
        <v>1998</v>
      </c>
      <c r="K18" s="2">
        <v>1999</v>
      </c>
      <c r="L18" s="2">
        <v>2000</v>
      </c>
      <c r="M18" s="3" t="s">
        <v>1</v>
      </c>
      <c r="N18" s="3" t="s">
        <v>2</v>
      </c>
      <c r="O18" s="3" t="s">
        <v>4</v>
      </c>
      <c r="P18" s="3" t="s">
        <v>5</v>
      </c>
      <c r="Q18" s="3">
        <v>2005</v>
      </c>
      <c r="R18" s="3">
        <v>2006</v>
      </c>
      <c r="S18" s="3">
        <v>2007</v>
      </c>
      <c r="T18" s="3">
        <v>2008</v>
      </c>
      <c r="U18" s="3">
        <v>2009</v>
      </c>
      <c r="V18" s="3">
        <v>2010</v>
      </c>
      <c r="W18" s="3">
        <v>2011</v>
      </c>
      <c r="X18" s="3">
        <v>2012</v>
      </c>
      <c r="Y18" s="3">
        <v>2013</v>
      </c>
      <c r="Z18" s="3">
        <v>2014</v>
      </c>
      <c r="AB18" s="31" t="s">
        <v>31</v>
      </c>
      <c r="AC18" s="31" t="s">
        <v>32</v>
      </c>
      <c r="AD18" s="32" t="s">
        <v>33</v>
      </c>
      <c r="AE18" s="32" t="s">
        <v>34</v>
      </c>
    </row>
    <row r="19" spans="1:32" s="11" customFormat="1" ht="13.5">
      <c r="A19" s="9" t="s">
        <v>37</v>
      </c>
      <c r="B19" s="22">
        <f>B5/1000</f>
        <v>21.794320346320347</v>
      </c>
      <c r="C19" s="22">
        <f t="shared" ref="C19:Z19" si="0">C5/1000</f>
        <v>21.735819672131147</v>
      </c>
      <c r="D19" s="22">
        <f t="shared" si="0"/>
        <v>23.40392628205128</v>
      </c>
      <c r="E19" s="22">
        <f t="shared" si="0"/>
        <v>25.778530259365994</v>
      </c>
      <c r="F19" s="22">
        <f t="shared" si="0"/>
        <v>26.422009090909089</v>
      </c>
      <c r="G19" s="22">
        <f t="shared" si="0"/>
        <v>29.693777777777782</v>
      </c>
      <c r="H19" s="22">
        <f t="shared" si="0"/>
        <v>31.185785440613031</v>
      </c>
      <c r="I19" s="22">
        <f t="shared" si="0"/>
        <v>34.50231321839081</v>
      </c>
      <c r="J19" s="22">
        <f t="shared" si="0"/>
        <v>38.955349650349653</v>
      </c>
      <c r="K19" s="22">
        <f t="shared" si="0"/>
        <v>42.480427135678397</v>
      </c>
      <c r="L19" s="22">
        <f t="shared" si="0"/>
        <v>50.371484623541896</v>
      </c>
      <c r="M19" s="22">
        <f t="shared" si="0"/>
        <v>54.805674931129474</v>
      </c>
      <c r="N19" s="22">
        <f t="shared" si="0"/>
        <v>63.587795275590551</v>
      </c>
      <c r="O19" s="22">
        <f t="shared" si="0"/>
        <v>79.125710659898473</v>
      </c>
      <c r="P19" s="22">
        <f t="shared" si="0"/>
        <v>110.25222857142857</v>
      </c>
      <c r="Q19" s="22">
        <f t="shared" si="0"/>
        <v>110.22133928571429</v>
      </c>
      <c r="R19" s="22">
        <f t="shared" si="0"/>
        <v>112.8130294117647</v>
      </c>
      <c r="S19" s="22">
        <f t="shared" si="0"/>
        <v>117.07403125</v>
      </c>
      <c r="T19" s="22">
        <f t="shared" si="0"/>
        <v>98.943742331288348</v>
      </c>
      <c r="U19" s="22">
        <f t="shared" si="0"/>
        <v>116.73659420289854</v>
      </c>
      <c r="V19" s="22">
        <f t="shared" si="0"/>
        <v>119.55503067484662</v>
      </c>
      <c r="W19" s="22">
        <f t="shared" si="0"/>
        <v>116.00122699386503</v>
      </c>
      <c r="X19" s="22">
        <f t="shared" si="0"/>
        <v>123.65573033707865</v>
      </c>
      <c r="Y19" s="22">
        <f>Y5/1000</f>
        <v>131.30322786000002</v>
      </c>
      <c r="Z19" s="22">
        <f t="shared" si="0"/>
        <v>134.96703360000001</v>
      </c>
      <c r="AA19" s="8"/>
      <c r="AB19" s="28"/>
      <c r="AC19" s="28"/>
      <c r="AD19" s="28"/>
      <c r="AE19" s="28"/>
    </row>
    <row r="20" spans="1:32" s="11" customFormat="1" ht="13.5">
      <c r="A20" s="9" t="s">
        <v>35</v>
      </c>
      <c r="B20" s="22">
        <f>B4/1000</f>
        <v>50.344880000000003</v>
      </c>
      <c r="C20" s="22">
        <f t="shared" ref="C20:Z20" si="1">C4/1000</f>
        <v>66.294250000000005</v>
      </c>
      <c r="D20" s="22">
        <f t="shared" si="1"/>
        <v>73.020250000000004</v>
      </c>
      <c r="E20" s="22">
        <f t="shared" si="1"/>
        <v>89.451499999999996</v>
      </c>
      <c r="F20" s="22">
        <f t="shared" si="1"/>
        <v>87.192630000000008</v>
      </c>
      <c r="G20" s="22">
        <f t="shared" si="1"/>
        <v>120.2598</v>
      </c>
      <c r="H20" s="22">
        <f t="shared" si="1"/>
        <v>162.78980000000001</v>
      </c>
      <c r="I20" s="22">
        <f t="shared" si="1"/>
        <v>240.1361</v>
      </c>
      <c r="J20" s="22">
        <f t="shared" si="1"/>
        <v>334.23690000000005</v>
      </c>
      <c r="K20" s="22">
        <f t="shared" si="1"/>
        <v>507.21629999999999</v>
      </c>
      <c r="L20" s="22">
        <f t="shared" si="1"/>
        <v>475.00310000000002</v>
      </c>
      <c r="M20" s="22">
        <f t="shared" si="1"/>
        <v>397.88920000000002</v>
      </c>
      <c r="N20" s="22">
        <f t="shared" si="1"/>
        <v>242.26949999999999</v>
      </c>
      <c r="O20" s="22">
        <f t="shared" si="1"/>
        <v>311.75529999999998</v>
      </c>
      <c r="P20" s="22">
        <f t="shared" si="1"/>
        <v>385.88279999999997</v>
      </c>
      <c r="Q20" s="22">
        <f t="shared" si="1"/>
        <v>370.34370000000001</v>
      </c>
      <c r="R20" s="22">
        <f t="shared" si="1"/>
        <v>383.5643</v>
      </c>
      <c r="S20" s="22">
        <f t="shared" si="1"/>
        <v>374.63690000000003</v>
      </c>
      <c r="T20" s="22">
        <f t="shared" si="1"/>
        <v>161.27830000000003</v>
      </c>
      <c r="U20" s="22">
        <f t="shared" si="1"/>
        <v>161.09649999999999</v>
      </c>
      <c r="V20" s="22">
        <f t="shared" si="1"/>
        <v>194.87470000000002</v>
      </c>
      <c r="W20" s="22">
        <f t="shared" si="1"/>
        <v>189.08199999999999</v>
      </c>
      <c r="X20" s="22">
        <f t="shared" si="1"/>
        <v>220.10720000000001</v>
      </c>
      <c r="Y20" s="22">
        <f>Y4/1000</f>
        <v>283.58979999999997</v>
      </c>
      <c r="Z20" s="22">
        <f t="shared" si="1"/>
        <v>253.7662</v>
      </c>
      <c r="AA20" s="8"/>
      <c r="AB20" s="28"/>
      <c r="AC20" s="28"/>
      <c r="AD20" s="28"/>
      <c r="AE20" s="28"/>
    </row>
    <row r="21" spans="1:32" s="24" customFormat="1" ht="13.5">
      <c r="A21" s="12" t="s">
        <v>3</v>
      </c>
      <c r="B21" s="44"/>
      <c r="C21" s="44">
        <f>C20-B20</f>
        <v>15.949370000000002</v>
      </c>
      <c r="D21" s="44">
        <f t="shared" ref="D21:X21" si="2">D20-C20</f>
        <v>6.7259999999999991</v>
      </c>
      <c r="E21" s="44">
        <f t="shared" si="2"/>
        <v>16.431249999999991</v>
      </c>
      <c r="F21" s="44">
        <f t="shared" si="2"/>
        <v>-2.2588699999999875</v>
      </c>
      <c r="G21" s="44">
        <f t="shared" si="2"/>
        <v>33.06716999999999</v>
      </c>
      <c r="H21" s="44">
        <f t="shared" si="2"/>
        <v>42.530000000000015</v>
      </c>
      <c r="I21" s="44">
        <f t="shared" si="2"/>
        <v>77.346299999999985</v>
      </c>
      <c r="J21" s="44">
        <f t="shared" si="2"/>
        <v>94.100800000000049</v>
      </c>
      <c r="K21" s="23">
        <f t="shared" si="2"/>
        <v>172.97939999999994</v>
      </c>
      <c r="L21" s="44">
        <f t="shared" si="2"/>
        <v>-32.213199999999972</v>
      </c>
      <c r="M21" s="44">
        <f t="shared" si="2"/>
        <v>-77.113900000000001</v>
      </c>
      <c r="N21" s="23">
        <f t="shared" si="2"/>
        <v>-155.61970000000002</v>
      </c>
      <c r="O21" s="44">
        <f t="shared" si="2"/>
        <v>69.485799999999983</v>
      </c>
      <c r="P21" s="44">
        <f t="shared" si="2"/>
        <v>74.127499999999998</v>
      </c>
      <c r="Q21" s="44">
        <f t="shared" si="2"/>
        <v>-15.539099999999962</v>
      </c>
      <c r="R21" s="44">
        <f t="shared" si="2"/>
        <v>13.22059999999999</v>
      </c>
      <c r="S21" s="44">
        <f t="shared" si="2"/>
        <v>-8.9273999999999774</v>
      </c>
      <c r="T21" s="23">
        <f t="shared" si="2"/>
        <v>-213.3586</v>
      </c>
      <c r="U21" s="44">
        <f t="shared" si="2"/>
        <v>-0.18180000000003815</v>
      </c>
      <c r="V21" s="44">
        <f t="shared" si="2"/>
        <v>33.778200000000027</v>
      </c>
      <c r="W21" s="44">
        <f t="shared" si="2"/>
        <v>-5.7927000000000248</v>
      </c>
      <c r="X21" s="23">
        <f t="shared" si="2"/>
        <v>31.025200000000012</v>
      </c>
      <c r="Y21" s="44">
        <f>Y20-X20</f>
        <v>63.482599999999962</v>
      </c>
      <c r="Z21" s="44">
        <f t="shared" ref="Z21" si="3">Z20-Y20</f>
        <v>-29.823599999999971</v>
      </c>
      <c r="AA21" s="8"/>
      <c r="AB21" s="30">
        <f>SUM(C21:X21)</f>
        <v>169.76232000000002</v>
      </c>
      <c r="AC21" s="30">
        <f>SUM(C21:K21)</f>
        <v>456.87142</v>
      </c>
      <c r="AD21" s="30">
        <f>SUM(L21:N21)</f>
        <v>-264.9468</v>
      </c>
      <c r="AE21" s="30">
        <f>SUM(O21:X21)</f>
        <v>-22.162299999999988</v>
      </c>
      <c r="AF21" s="24">
        <f>SUM(AC21:AE21)</f>
        <v>169.76232000000002</v>
      </c>
    </row>
    <row r="22" spans="1:32" s="11" customFormat="1" ht="13.5">
      <c r="A22" s="14" t="s">
        <v>36</v>
      </c>
      <c r="B22" s="22">
        <f>B7/1000</f>
        <v>1.6779999999999999</v>
      </c>
      <c r="C22" s="22">
        <f t="shared" ref="C22:Z22" si="4">C7/1000</f>
        <v>1.78</v>
      </c>
      <c r="D22" s="22">
        <f t="shared" si="4"/>
        <v>1.925</v>
      </c>
      <c r="E22" s="22">
        <f t="shared" si="4"/>
        <v>2.153</v>
      </c>
      <c r="F22" s="22">
        <f t="shared" si="4"/>
        <v>2.4620000000000002</v>
      </c>
      <c r="G22" s="22">
        <f t="shared" si="4"/>
        <v>2.77</v>
      </c>
      <c r="H22" s="22">
        <f t="shared" si="4"/>
        <v>3.05</v>
      </c>
      <c r="I22" s="22">
        <f t="shared" si="4"/>
        <v>3.411</v>
      </c>
      <c r="J22" s="22">
        <f t="shared" si="4"/>
        <v>3.9129999999999998</v>
      </c>
      <c r="K22" s="22">
        <f t="shared" si="4"/>
        <v>4.5869999999999997</v>
      </c>
      <c r="L22" s="22">
        <f t="shared" si="4"/>
        <v>5.4009999999999998</v>
      </c>
      <c r="M22" s="22">
        <f t="shared" si="4"/>
        <v>6.3579999999999997</v>
      </c>
      <c r="N22" s="22">
        <f t="shared" si="4"/>
        <v>7.157</v>
      </c>
      <c r="O22" s="22">
        <f t="shared" si="4"/>
        <v>7.6429999999999998</v>
      </c>
      <c r="P22" s="22">
        <f t="shared" si="4"/>
        <v>8.2780000000000005</v>
      </c>
      <c r="Q22" s="22">
        <f t="shared" si="4"/>
        <v>9.3520000000000003</v>
      </c>
      <c r="R22" s="22">
        <f t="shared" si="4"/>
        <v>10.42</v>
      </c>
      <c r="S22" s="22">
        <f t="shared" si="4"/>
        <v>11.492000000000001</v>
      </c>
      <c r="T22" s="22">
        <f t="shared" si="4"/>
        <v>12.407999999999999</v>
      </c>
      <c r="U22" s="22">
        <f t="shared" si="4"/>
        <v>8.9860000000000007</v>
      </c>
      <c r="V22" s="22">
        <f t="shared" si="4"/>
        <v>4.79</v>
      </c>
      <c r="W22" s="22">
        <f t="shared" si="4"/>
        <v>6.4580000000000002</v>
      </c>
      <c r="X22" s="22">
        <f t="shared" si="4"/>
        <v>7.3404100000000003</v>
      </c>
      <c r="Y22" s="22">
        <f>Y7/1000</f>
        <v>7.9927223000000005</v>
      </c>
      <c r="Z22" s="22">
        <f t="shared" si="4"/>
        <v>8.9375491</v>
      </c>
      <c r="AA22" s="35"/>
      <c r="AB22" s="28">
        <f>SUM(C22:X22)</f>
        <v>132.13441</v>
      </c>
      <c r="AC22" s="28">
        <f>SUM(C22:K22)</f>
        <v>26.051000000000002</v>
      </c>
      <c r="AD22" s="28">
        <f>SUM(L22:N22)</f>
        <v>18.916</v>
      </c>
      <c r="AE22" s="28">
        <f>SUM(O22:X22)</f>
        <v>87.167410000000018</v>
      </c>
      <c r="AF22" s="11">
        <f>SUM(AC22:AE22)</f>
        <v>132.13441</v>
      </c>
    </row>
    <row r="23" spans="1:32" s="11" customFormat="1" ht="13.5">
      <c r="A23" s="14" t="s">
        <v>92</v>
      </c>
      <c r="B23" s="34"/>
      <c r="C23" s="34">
        <v>0.76269089284339719</v>
      </c>
      <c r="D23" s="34">
        <v>0.96590145520132287</v>
      </c>
      <c r="E23" s="34">
        <v>0.11406419988348974</v>
      </c>
      <c r="F23" s="34">
        <v>-0.19447164330753797</v>
      </c>
      <c r="G23" s="34">
        <v>2.3947978814331634</v>
      </c>
      <c r="H23" s="34">
        <v>2.0653846238781877</v>
      </c>
      <c r="I23" s="34">
        <v>1.0455521969947077</v>
      </c>
      <c r="J23" s="34">
        <v>-0.43496153530181975</v>
      </c>
      <c r="K23" s="34">
        <v>-0.21693569061853984</v>
      </c>
      <c r="L23" s="34">
        <v>-3.7427787985425693</v>
      </c>
      <c r="M23" s="34">
        <v>-0.87473808074843751</v>
      </c>
      <c r="N23" s="34">
        <v>-0.7487933465144293</v>
      </c>
      <c r="O23" s="34">
        <v>-3.0800810461824311</v>
      </c>
      <c r="P23" s="34">
        <v>-16.179976590241978</v>
      </c>
      <c r="Q23" s="34">
        <v>0.14271886453115024</v>
      </c>
      <c r="R23" s="34">
        <v>8.5888161200151067</v>
      </c>
      <c r="S23" s="34">
        <v>8.0995105966395702</v>
      </c>
      <c r="T23" s="34">
        <v>5.1261905543690141</v>
      </c>
      <c r="U23" s="34">
        <v>-9.6233834870926689</v>
      </c>
      <c r="V23" s="34">
        <v>-0.12846803017747538</v>
      </c>
      <c r="W23" s="34">
        <v>1.7317032920630175</v>
      </c>
      <c r="X23" s="34">
        <v>1.6177127750394507</v>
      </c>
      <c r="Y23" s="109">
        <v>0</v>
      </c>
      <c r="Z23" s="109">
        <v>0</v>
      </c>
      <c r="AA23" s="35"/>
      <c r="AB23" s="28">
        <f>SUM(C23:X23)</f>
        <v>-2.5695447958363058</v>
      </c>
      <c r="AC23" s="28">
        <f>SUM(C23:K23)</f>
        <v>6.5020223810063715</v>
      </c>
      <c r="AD23" s="28">
        <f>SUM(L23:N23)</f>
        <v>-5.366310225805436</v>
      </c>
      <c r="AE23" s="28">
        <f>SUM(O23:X23)</f>
        <v>-3.705256951037244</v>
      </c>
      <c r="AF23" s="11">
        <f>SUM(AC23:AE23)</f>
        <v>-2.5695447958363085</v>
      </c>
    </row>
    <row r="24" spans="1:32" s="24" customFormat="1" ht="13.5">
      <c r="A24" s="12" t="s">
        <v>8</v>
      </c>
      <c r="B24" s="36"/>
      <c r="C24" s="36">
        <f t="shared" ref="C24:Z24" si="5">C21+C22+C23</f>
        <v>18.492060892843401</v>
      </c>
      <c r="D24" s="36">
        <f t="shared" si="5"/>
        <v>9.6169014552013223</v>
      </c>
      <c r="E24" s="36">
        <f t="shared" si="5"/>
        <v>18.69831419988348</v>
      </c>
      <c r="F24" s="36">
        <f t="shared" si="5"/>
        <v>8.6583566924747224E-3</v>
      </c>
      <c r="G24" s="36">
        <f t="shared" si="5"/>
        <v>38.231967881433157</v>
      </c>
      <c r="H24" s="36">
        <f t="shared" si="5"/>
        <v>47.645384623878201</v>
      </c>
      <c r="I24" s="36">
        <f t="shared" si="5"/>
        <v>81.802852196994692</v>
      </c>
      <c r="J24" s="36">
        <f t="shared" si="5"/>
        <v>97.578838464698222</v>
      </c>
      <c r="K24" s="36">
        <f t="shared" si="5"/>
        <v>177.3494643093814</v>
      </c>
      <c r="L24" s="36">
        <f t="shared" si="5"/>
        <v>-30.554978798542543</v>
      </c>
      <c r="M24" s="36">
        <f t="shared" si="5"/>
        <v>-71.63063808074844</v>
      </c>
      <c r="N24" s="36">
        <f t="shared" si="5"/>
        <v>-149.21149334651443</v>
      </c>
      <c r="O24" s="36">
        <f t="shared" si="5"/>
        <v>74.048718953817556</v>
      </c>
      <c r="P24" s="36">
        <f t="shared" si="5"/>
        <v>66.225523409758026</v>
      </c>
      <c r="Q24" s="36">
        <f t="shared" si="5"/>
        <v>-6.0443811354688117</v>
      </c>
      <c r="R24" s="36">
        <f t="shared" si="5"/>
        <v>32.229416120015102</v>
      </c>
      <c r="S24" s="36">
        <f t="shared" si="5"/>
        <v>10.664110596639594</v>
      </c>
      <c r="T24" s="36">
        <f t="shared" si="5"/>
        <v>-195.82440944563101</v>
      </c>
      <c r="U24" s="36">
        <f t="shared" si="5"/>
        <v>-0.81918348709270639</v>
      </c>
      <c r="V24" s="36">
        <f t="shared" si="5"/>
        <v>38.439731969822553</v>
      </c>
      <c r="W24" s="36">
        <f t="shared" si="5"/>
        <v>2.3970032920629931</v>
      </c>
      <c r="X24" s="36">
        <f t="shared" si="5"/>
        <v>39.983322775039461</v>
      </c>
      <c r="Y24" s="36">
        <f t="shared" si="5"/>
        <v>71.475322299999959</v>
      </c>
      <c r="Z24" s="36">
        <f t="shared" si="5"/>
        <v>-20.886050899999972</v>
      </c>
      <c r="AA24" s="45"/>
      <c r="AB24" s="30">
        <f>SUM(C24:X24)</f>
        <v>299.32718520416375</v>
      </c>
      <c r="AC24" s="30">
        <f>SUM(C24:K24)</f>
        <v>489.42444238100637</v>
      </c>
      <c r="AD24" s="30">
        <f>SUM(L24:N24)</f>
        <v>-251.39711022580542</v>
      </c>
      <c r="AE24" s="30">
        <f>SUM(O24:X24)</f>
        <v>61.299853048962774</v>
      </c>
      <c r="AF24" s="24">
        <f>SUM(AC24:AE24)</f>
        <v>299.3271852041637</v>
      </c>
    </row>
    <row r="25" spans="1:32" s="24" customFormat="1" ht="13.5">
      <c r="A25" s="9" t="s">
        <v>11</v>
      </c>
      <c r="B25" s="36"/>
      <c r="C25" s="55">
        <f t="shared" ref="C25:X25" si="6">C24/B20</f>
        <v>0.36730767642793866</v>
      </c>
      <c r="D25" s="55">
        <f t="shared" si="6"/>
        <v>0.14506388495535166</v>
      </c>
      <c r="E25" s="55">
        <f t="shared" si="6"/>
        <v>0.25607025722157184</v>
      </c>
      <c r="F25" s="55">
        <f t="shared" si="6"/>
        <v>9.6793868101426172E-5</v>
      </c>
      <c r="G25" s="55">
        <f t="shared" si="6"/>
        <v>0.43847705799713982</v>
      </c>
      <c r="H25" s="55">
        <f t="shared" si="6"/>
        <v>0.39618712673626766</v>
      </c>
      <c r="I25" s="55">
        <f t="shared" si="6"/>
        <v>0.50250600588608552</v>
      </c>
      <c r="J25" s="55">
        <f t="shared" si="6"/>
        <v>0.40634806039032956</v>
      </c>
      <c r="K25" s="55">
        <f t="shared" si="6"/>
        <v>0.53061006821623036</v>
      </c>
      <c r="L25" s="55">
        <f t="shared" si="6"/>
        <v>-6.0240530122045652E-2</v>
      </c>
      <c r="M25" s="55">
        <f t="shared" si="6"/>
        <v>-0.15080035915712642</v>
      </c>
      <c r="N25" s="55">
        <f t="shared" si="6"/>
        <v>-0.37500764872862702</v>
      </c>
      <c r="O25" s="55">
        <f t="shared" si="6"/>
        <v>0.30564606338733336</v>
      </c>
      <c r="P25" s="55">
        <f t="shared" si="6"/>
        <v>0.21242789909187759</v>
      </c>
      <c r="Q25" s="55">
        <f t="shared" si="6"/>
        <v>-1.5663774429616487E-2</v>
      </c>
      <c r="R25" s="55">
        <f t="shared" si="6"/>
        <v>8.7025690243995243E-2</v>
      </c>
      <c r="S25" s="55">
        <f t="shared" si="6"/>
        <v>2.7802667236339756E-2</v>
      </c>
      <c r="T25" s="55">
        <f t="shared" si="6"/>
        <v>-0.52270454257343846</v>
      </c>
      <c r="U25" s="55">
        <f t="shared" si="6"/>
        <v>-5.0793162322067273E-3</v>
      </c>
      <c r="V25" s="55">
        <f t="shared" si="6"/>
        <v>0.2386130795505958</v>
      </c>
      <c r="W25" s="55">
        <f t="shared" si="6"/>
        <v>1.2300228259815117E-2</v>
      </c>
      <c r="X25" s="55">
        <f t="shared" si="6"/>
        <v>0.21146022770564868</v>
      </c>
      <c r="Y25" s="55">
        <f t="shared" ref="Y25" si="7">Y24/X20</f>
        <v>0.32472959676012397</v>
      </c>
      <c r="Z25" s="55">
        <f t="shared" ref="Z25" si="8">Z24/Y20</f>
        <v>-7.3648808596077767E-2</v>
      </c>
      <c r="AA25" s="45"/>
      <c r="AB25" s="46">
        <f>X27/B27-1</f>
        <v>7.0016148165361844</v>
      </c>
      <c r="AC25" s="46">
        <f>K27/B27-1</f>
        <v>11.775329390220683</v>
      </c>
      <c r="AD25" s="46">
        <f>N27/K27-1</f>
        <v>-0.5012289763305271</v>
      </c>
      <c r="AE25" s="46">
        <f>X27/N27-1</f>
        <v>0.25575327619009225</v>
      </c>
      <c r="AF25" s="47">
        <f>(1+AC25)*(1+AD25)*(1+AE25)-1</f>
        <v>7.0016148165361844</v>
      </c>
    </row>
    <row r="26" spans="1:32" s="19" customFormat="1" ht="13.5">
      <c r="A26" s="39" t="s">
        <v>41</v>
      </c>
      <c r="B26" s="40"/>
      <c r="C26" s="41">
        <f>C25-C65</f>
        <v>-6.4124325744318589E-3</v>
      </c>
      <c r="D26" s="41">
        <f t="shared" ref="D26:Z26" si="9">D25-D65</f>
        <v>-5.8974503499515385E-3</v>
      </c>
      <c r="E26" s="41">
        <f t="shared" si="9"/>
        <v>-4.3958077419690156E-3</v>
      </c>
      <c r="F26" s="41">
        <f t="shared" si="9"/>
        <v>-1.9744873325943475E-3</v>
      </c>
      <c r="G26" s="41">
        <f t="shared" si="9"/>
        <v>-1.2831369064409903E-2</v>
      </c>
      <c r="H26" s="41">
        <f t="shared" si="9"/>
        <v>-6.6146045957230504E-3</v>
      </c>
      <c r="I26" s="41">
        <f t="shared" si="9"/>
        <v>-6.9725543245844346E-3</v>
      </c>
      <c r="J26" s="41">
        <f t="shared" si="9"/>
        <v>-3.578584066492807E-3</v>
      </c>
      <c r="K26" s="41">
        <f t="shared" si="9"/>
        <v>-4.999796962149694E-3</v>
      </c>
      <c r="L26" s="41">
        <f t="shared" si="9"/>
        <v>-3.117868964145204E-4</v>
      </c>
      <c r="M26" s="41">
        <f t="shared" si="9"/>
        <v>-1.3885765391918881E-4</v>
      </c>
      <c r="N26" s="41">
        <f t="shared" si="9"/>
        <v>2.0621865052691257E-3</v>
      </c>
      <c r="O26" s="41">
        <f t="shared" si="9"/>
        <v>-1.8381082301505147E-3</v>
      </c>
      <c r="P26" s="42">
        <f t="shared" si="9"/>
        <v>5.6082413996559333E-3</v>
      </c>
      <c r="Q26" s="41">
        <f t="shared" si="9"/>
        <v>-1.3454783996192515E-3</v>
      </c>
      <c r="R26" s="42">
        <f t="shared" si="9"/>
        <v>-6.4947383285538091E-3</v>
      </c>
      <c r="S26" s="41">
        <f t="shared" si="9"/>
        <v>9.2917620732016482E-4</v>
      </c>
      <c r="T26" s="41">
        <f t="shared" si="9"/>
        <v>1.7100490577631522E-2</v>
      </c>
      <c r="U26" s="41">
        <f t="shared" si="9"/>
        <v>1.1981282285160461E-2</v>
      </c>
      <c r="V26" s="41">
        <f t="shared" si="9"/>
        <v>-4.0906147735733644E-3</v>
      </c>
      <c r="W26" s="41">
        <f t="shared" si="9"/>
        <v>-3.2465369256819837E-4</v>
      </c>
      <c r="X26" s="41">
        <f t="shared" si="9"/>
        <v>-1.0023453076533906E-3</v>
      </c>
      <c r="Y26" s="41">
        <f>Y25-Y65</f>
        <v>-5.4140107508847513E-2</v>
      </c>
      <c r="Z26" s="41">
        <f t="shared" si="9"/>
        <v>-6.6614347882701513E-3</v>
      </c>
      <c r="AA26" s="43"/>
      <c r="AB26" s="48">
        <f>(1+AB25)^(1/23)-1</f>
        <v>9.4633142117153346E-2</v>
      </c>
      <c r="AC26" s="48">
        <f>(1+AC25)^(1/9)-1</f>
        <v>0.32718123952365596</v>
      </c>
      <c r="AD26" s="48">
        <f>(1+AD25)^(1/3)-1</f>
        <v>-0.20695030031423534</v>
      </c>
      <c r="AE26" s="48">
        <f>(1+AE25)^(1/11)-1</f>
        <v>2.0919036201328511E-2</v>
      </c>
    </row>
    <row r="27" spans="1:32" s="11" customFormat="1" ht="13.5">
      <c r="A27" s="33"/>
      <c r="B27" s="34">
        <v>1</v>
      </c>
      <c r="C27" s="34">
        <f>B27*(1+C25)</f>
        <v>1.3673076764279386</v>
      </c>
      <c r="D27" s="34">
        <f t="shared" ref="D27:X27" si="10">C27*(1+D25)</f>
        <v>1.5656546398998501</v>
      </c>
      <c r="E27" s="34">
        <f t="shared" si="10"/>
        <v>1.9665722262591521</v>
      </c>
      <c r="F27" s="34">
        <f t="shared" si="10"/>
        <v>1.9667625783918323</v>
      </c>
      <c r="G27" s="34">
        <f t="shared" si="10"/>
        <v>2.829142847543952</v>
      </c>
      <c r="H27" s="34">
        <f t="shared" si="10"/>
        <v>3.9500128234388523</v>
      </c>
      <c r="I27" s="34">
        <f t="shared" si="10"/>
        <v>5.9349179905439291</v>
      </c>
      <c r="J27" s="34">
        <f t="shared" si="10"/>
        <v>8.3465604045771276</v>
      </c>
      <c r="K27" s="34">
        <f t="shared" si="10"/>
        <v>12.775329390220683</v>
      </c>
      <c r="L27" s="34">
        <f t="shared" si="10"/>
        <v>12.005736775270039</v>
      </c>
      <c r="M27" s="34">
        <f t="shared" si="10"/>
        <v>10.195267357613396</v>
      </c>
      <c r="N27" s="34">
        <f t="shared" si="10"/>
        <v>6.3719641176750743</v>
      </c>
      <c r="O27" s="34">
        <f t="shared" si="10"/>
        <v>8.3195298662878052</v>
      </c>
      <c r="P27" s="34">
        <f t="shared" si="10"/>
        <v>10.086830117215452</v>
      </c>
      <c r="Q27" s="34">
        <f t="shared" si="10"/>
        <v>9.928832285549527</v>
      </c>
      <c r="R27" s="34">
        <f t="shared" si="10"/>
        <v>10.792895768516338</v>
      </c>
      <c r="S27" s="34">
        <f t="shared" si="10"/>
        <v>11.092967058084898</v>
      </c>
      <c r="T27" s="34">
        <f t="shared" si="10"/>
        <v>5.2946227862064106</v>
      </c>
      <c r="U27" s="34">
        <f t="shared" si="10"/>
        <v>5.2677297227450213</v>
      </c>
      <c r="V27" s="34">
        <f t="shared" si="10"/>
        <v>6.5246789341294171</v>
      </c>
      <c r="W27" s="34">
        <f t="shared" si="10"/>
        <v>6.6049339743412157</v>
      </c>
      <c r="X27" s="34">
        <f t="shared" si="10"/>
        <v>8.0016148165361844</v>
      </c>
      <c r="Y27" s="34">
        <f>X27*(1+Y25)</f>
        <v>10.599975969339813</v>
      </c>
      <c r="Z27" s="34">
        <f t="shared" ref="Z27" si="11">Y27*(1+Z25)</f>
        <v>9.8193003680508806</v>
      </c>
      <c r="AA27" s="35"/>
      <c r="AB27" s="28"/>
      <c r="AC27" s="28"/>
      <c r="AD27" s="28"/>
      <c r="AE27" s="28"/>
    </row>
    <row r="28" spans="1:32" s="11" customFormat="1" ht="13.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  <c r="AB28" s="28"/>
      <c r="AC28" s="28"/>
      <c r="AD28" s="28"/>
      <c r="AE28" s="28"/>
    </row>
    <row r="29" spans="1:32" s="11" customFormat="1" ht="13.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5"/>
    </row>
    <row r="30" spans="1:32" s="11" customFormat="1" ht="13.5">
      <c r="A30" s="12" t="s">
        <v>42</v>
      </c>
      <c r="B30" s="34"/>
      <c r="C30" s="38">
        <f>C79</f>
        <v>0.13885560000000002</v>
      </c>
      <c r="D30" s="38">
        <f t="shared" ref="D30:X30" si="12">D79</f>
        <v>0.11520559999999999</v>
      </c>
      <c r="E30" s="38">
        <f t="shared" si="12"/>
        <v>0.11496480000000001</v>
      </c>
      <c r="F30" s="38">
        <f t="shared" si="12"/>
        <v>9.9674000000000013E-2</v>
      </c>
      <c r="G30" s="38">
        <f t="shared" si="12"/>
        <v>0.13476199999999999</v>
      </c>
      <c r="H30" s="38">
        <f t="shared" si="12"/>
        <v>9.5890000000000003E-2</v>
      </c>
      <c r="I30" s="38">
        <f t="shared" si="12"/>
        <v>0.11037240000000001</v>
      </c>
      <c r="J30" s="38">
        <f t="shared" si="12"/>
        <v>9.869360000000002E-2</v>
      </c>
      <c r="K30" s="38">
        <f t="shared" si="12"/>
        <v>8.2470000000000016E-2</v>
      </c>
      <c r="L30" s="38">
        <f t="shared" si="12"/>
        <v>0.11066480000000002</v>
      </c>
      <c r="M30" s="38">
        <f t="shared" si="12"/>
        <v>8.7806000000000023E-2</v>
      </c>
      <c r="N30" s="38">
        <f t="shared" si="12"/>
        <v>8.6688000000000001E-2</v>
      </c>
      <c r="O30" s="38">
        <f t="shared" si="12"/>
        <v>7.4280000000000013E-2</v>
      </c>
      <c r="P30" s="38">
        <f t="shared" si="12"/>
        <v>7.8640000000000015E-2</v>
      </c>
      <c r="Q30" s="38">
        <f t="shared" si="12"/>
        <v>7.8179999999999999E-2</v>
      </c>
      <c r="R30" s="38">
        <f t="shared" si="12"/>
        <v>7.9979999999999996E-2</v>
      </c>
      <c r="S30" s="38">
        <f t="shared" si="12"/>
        <v>8.3100000000000007E-2</v>
      </c>
      <c r="T30" s="38">
        <f t="shared" si="12"/>
        <v>7.6340000000000005E-2</v>
      </c>
      <c r="U30" s="38">
        <f t="shared" si="12"/>
        <v>7.0000000000000007E-2</v>
      </c>
      <c r="V30" s="38">
        <f t="shared" si="12"/>
        <v>7.4349999999999999E-2</v>
      </c>
      <c r="W30" s="38">
        <f t="shared" si="12"/>
        <v>7.0000000000000007E-2</v>
      </c>
      <c r="X30" s="38">
        <f t="shared" si="12"/>
        <v>7.0000000000000007E-2</v>
      </c>
      <c r="Y30" s="38">
        <f t="shared" ref="Y30:Z30" si="13">Y79</f>
        <v>7.0000000000000007E-2</v>
      </c>
      <c r="Z30" s="38">
        <f t="shared" si="13"/>
        <v>7.0000000000000007E-2</v>
      </c>
      <c r="AA30" s="35"/>
      <c r="AB30" s="46">
        <f>X31/B31-1</f>
        <v>5.9508364509653147</v>
      </c>
      <c r="AC30" s="46">
        <f>K31/B31-1</f>
        <v>1.557299459742167</v>
      </c>
      <c r="AD30" s="46">
        <f>N31/K31-1</f>
        <v>0.31292322033307629</v>
      </c>
      <c r="AE30" s="46">
        <f>X31/N31-1</f>
        <v>1.0702183498669298</v>
      </c>
      <c r="AF30" s="47">
        <f>(1+AC30)*(1+AD30)*(1+AE30)-1</f>
        <v>5.9508364509653164</v>
      </c>
    </row>
    <row r="31" spans="1:32" s="11" customFormat="1" ht="13.5">
      <c r="A31" s="12"/>
      <c r="B31" s="34">
        <v>1</v>
      </c>
      <c r="C31" s="34">
        <f>B31*(1+C30)</f>
        <v>1.1388556000000001</v>
      </c>
      <c r="D31" s="34">
        <f t="shared" ref="D31:X31" si="14">C31*(1+D30)</f>
        <v>1.27005814271136</v>
      </c>
      <c r="E31" s="34">
        <f t="shared" si="14"/>
        <v>1.4160701230765431</v>
      </c>
      <c r="F31" s="34">
        <f t="shared" si="14"/>
        <v>1.5572154965240745</v>
      </c>
      <c r="G31" s="34">
        <f t="shared" si="14"/>
        <v>1.7670689712666519</v>
      </c>
      <c r="H31" s="34">
        <f t="shared" si="14"/>
        <v>1.9365132149214113</v>
      </c>
      <c r="I31" s="34">
        <f t="shared" si="14"/>
        <v>2.1502508260840032</v>
      </c>
      <c r="J31" s="34">
        <f t="shared" si="14"/>
        <v>2.3624668210132076</v>
      </c>
      <c r="K31" s="34">
        <f t="shared" si="14"/>
        <v>2.557299459742167</v>
      </c>
      <c r="L31" s="34">
        <f t="shared" si="14"/>
        <v>2.8403024929946423</v>
      </c>
      <c r="M31" s="34">
        <f t="shared" si="14"/>
        <v>3.0896980936945302</v>
      </c>
      <c r="N31" s="34">
        <f t="shared" si="14"/>
        <v>3.3575378420407218</v>
      </c>
      <c r="O31" s="34">
        <f t="shared" si="14"/>
        <v>3.6069357529475061</v>
      </c>
      <c r="P31" s="34">
        <f t="shared" si="14"/>
        <v>3.8905851805592984</v>
      </c>
      <c r="Q31" s="34">
        <f t="shared" si="14"/>
        <v>4.1947511299754243</v>
      </c>
      <c r="R31" s="34">
        <f t="shared" si="14"/>
        <v>4.5302473253508584</v>
      </c>
      <c r="S31" s="34">
        <f t="shared" si="14"/>
        <v>4.9067108780875142</v>
      </c>
      <c r="T31" s="34">
        <f t="shared" si="14"/>
        <v>5.2812891865207154</v>
      </c>
      <c r="U31" s="34">
        <f t="shared" si="14"/>
        <v>5.6509794295771663</v>
      </c>
      <c r="V31" s="34">
        <f t="shared" si="14"/>
        <v>6.0711297501662278</v>
      </c>
      <c r="W31" s="34">
        <f t="shared" si="14"/>
        <v>6.496108832677864</v>
      </c>
      <c r="X31" s="34">
        <f t="shared" si="14"/>
        <v>6.9508364509653147</v>
      </c>
      <c r="Y31" s="34">
        <f t="shared" ref="Y31" si="15">X31*(1+Y30)</f>
        <v>7.4373950025328872</v>
      </c>
      <c r="Z31" s="34">
        <f t="shared" ref="Z31" si="16">Y31*(1+Z30)</f>
        <v>7.95801265271019</v>
      </c>
      <c r="AA31" s="35"/>
      <c r="AB31" s="48">
        <f>(1+AB30)^(1/23)-1</f>
        <v>8.7953434171519573E-2</v>
      </c>
      <c r="AC31" s="48">
        <f>(1+AC30)^(1/9)-1</f>
        <v>0.10996443928232202</v>
      </c>
      <c r="AD31" s="48">
        <f>(1+AD30)^(1/3)-1</f>
        <v>9.499745496321288E-2</v>
      </c>
      <c r="AE31" s="48">
        <f>(1+AE30)^(1/11)-1</f>
        <v>6.8387359926786573E-2</v>
      </c>
      <c r="AF31" s="19"/>
    </row>
    <row r="32" spans="1:32" s="24" customFormat="1" ht="13.5">
      <c r="A32" s="2" t="s">
        <v>12</v>
      </c>
      <c r="B32" s="36"/>
      <c r="C32" s="36">
        <f t="shared" ref="C32:X32" si="17">B20*(C25-C30)</f>
        <v>11.501392373515399</v>
      </c>
      <c r="D32" s="36">
        <f t="shared" si="17"/>
        <v>1.9794326074013227</v>
      </c>
      <c r="E32" s="36">
        <f t="shared" si="17"/>
        <v>10.303555762683482</v>
      </c>
      <c r="F32" s="36">
        <f t="shared" si="17"/>
        <v>-8.9073304543075267</v>
      </c>
      <c r="G32" s="36">
        <f t="shared" si="17"/>
        <v>26.481714677373155</v>
      </c>
      <c r="H32" s="36">
        <f t="shared" si="17"/>
        <v>36.113672401878198</v>
      </c>
      <c r="I32" s="36">
        <f t="shared" si="17"/>
        <v>63.835351275474686</v>
      </c>
      <c r="J32" s="36">
        <f t="shared" si="17"/>
        <v>73.878942265738203</v>
      </c>
      <c r="K32" s="36">
        <f t="shared" si="17"/>
        <v>149.78494716638136</v>
      </c>
      <c r="L32" s="36">
        <f t="shared" si="17"/>
        <v>-86.685969194782558</v>
      </c>
      <c r="M32" s="36">
        <f t="shared" si="17"/>
        <v>-113.33876027934845</v>
      </c>
      <c r="N32" s="36">
        <f t="shared" si="17"/>
        <v>-183.70371231611443</v>
      </c>
      <c r="O32" s="36">
        <f t="shared" si="17"/>
        <v>56.052940493817552</v>
      </c>
      <c r="P32" s="36">
        <f t="shared" si="17"/>
        <v>41.709086617758018</v>
      </c>
      <c r="Q32" s="36">
        <f t="shared" si="17"/>
        <v>-36.212698439468809</v>
      </c>
      <c r="R32" s="36">
        <f t="shared" si="17"/>
        <v>2.6093269940151029</v>
      </c>
      <c r="S32" s="36">
        <f t="shared" si="17"/>
        <v>-21.210082733360409</v>
      </c>
      <c r="T32" s="36">
        <f t="shared" si="17"/>
        <v>-224.42419039163102</v>
      </c>
      <c r="U32" s="36">
        <f t="shared" si="17"/>
        <v>-12.10866448709271</v>
      </c>
      <c r="V32" s="36">
        <f t="shared" si="17"/>
        <v>26.462207194822554</v>
      </c>
      <c r="W32" s="36">
        <f t="shared" si="17"/>
        <v>-11.244225707937009</v>
      </c>
      <c r="X32" s="36">
        <f t="shared" si="17"/>
        <v>26.747582775039461</v>
      </c>
      <c r="Y32" s="36">
        <f t="shared" ref="Y32" si="18">X20*(Y25-Y30)</f>
        <v>56.067818299999956</v>
      </c>
      <c r="Z32" s="36">
        <f t="shared" ref="Z32" si="19">Y20*(Z25-Z30)</f>
        <v>-40.737336899999967</v>
      </c>
      <c r="AA32" s="45"/>
      <c r="AB32" s="30">
        <f>SUM(C32:X32)</f>
        <v>-170.37548139814439</v>
      </c>
      <c r="AC32" s="30">
        <f>SUM(C32:K32)</f>
        <v>364.97167807613829</v>
      </c>
      <c r="AD32" s="30">
        <f>SUM(L32:N32)</f>
        <v>-383.72844179024543</v>
      </c>
      <c r="AE32" s="30">
        <f>SUM(O32:X32)</f>
        <v>-151.61871768403725</v>
      </c>
      <c r="AF32" s="24">
        <f>SUM(AC32:AE32)</f>
        <v>-170.37548139814439</v>
      </c>
    </row>
    <row r="33" spans="1:32" s="24" customFormat="1" ht="13.5">
      <c r="A33" s="2" t="s">
        <v>45</v>
      </c>
      <c r="B33" s="36"/>
      <c r="C33" s="36">
        <f>C32*$X31/C31</f>
        <v>70.197044600461467</v>
      </c>
      <c r="D33" s="36">
        <f t="shared" ref="D33:X33" si="20">D32*$X31/D31</f>
        <v>10.833135788871758</v>
      </c>
      <c r="E33" s="36">
        <f t="shared" si="20"/>
        <v>50.575412758668072</v>
      </c>
      <c r="F33" s="36">
        <f t="shared" si="20"/>
        <v>-39.759042560771874</v>
      </c>
      <c r="G33" s="36">
        <f t="shared" si="20"/>
        <v>104.16688349838735</v>
      </c>
      <c r="H33" s="36">
        <f t="shared" si="20"/>
        <v>129.62484767726315</v>
      </c>
      <c r="I33" s="36">
        <f t="shared" si="20"/>
        <v>206.35224557212211</v>
      </c>
      <c r="J33" s="36">
        <f t="shared" si="20"/>
        <v>217.36620395761494</v>
      </c>
      <c r="K33" s="36">
        <f t="shared" si="20"/>
        <v>407.12113968653739</v>
      </c>
      <c r="L33" s="36">
        <f t="shared" si="20"/>
        <v>-212.13937457452619</v>
      </c>
      <c r="M33" s="36">
        <f t="shared" si="20"/>
        <v>-254.97610522680486</v>
      </c>
      <c r="N33" s="36">
        <f t="shared" si="20"/>
        <v>-380.30679617549555</v>
      </c>
      <c r="O33" s="36">
        <f t="shared" si="20"/>
        <v>108.0182317219907</v>
      </c>
      <c r="P33" s="36">
        <f t="shared" si="20"/>
        <v>74.516563998607808</v>
      </c>
      <c r="Q33" s="36">
        <f t="shared" si="20"/>
        <v>-60.00559663770786</v>
      </c>
      <c r="R33" s="36">
        <f t="shared" si="20"/>
        <v>4.0035353215695038</v>
      </c>
      <c r="S33" s="36">
        <f t="shared" si="20"/>
        <v>-30.046159199927104</v>
      </c>
      <c r="T33" s="36">
        <f t="shared" si="20"/>
        <v>-295.37027569592448</v>
      </c>
      <c r="U33" s="36">
        <f t="shared" si="20"/>
        <v>-14.893939632636547</v>
      </c>
      <c r="V33" s="36">
        <f t="shared" si="20"/>
        <v>30.296581017352345</v>
      </c>
      <c r="W33" s="36">
        <f t="shared" si="20"/>
        <v>-12.031321507492599</v>
      </c>
      <c r="X33" s="36">
        <f t="shared" si="20"/>
        <v>26.747582775039461</v>
      </c>
      <c r="Y33" s="36">
        <f t="shared" ref="Y33:Z33" si="21">Y32*$X31/Y31</f>
        <v>52.399830186915842</v>
      </c>
      <c r="Z33" s="36">
        <f t="shared" si="21"/>
        <v>-35.581567735173344</v>
      </c>
      <c r="AA33" s="45"/>
      <c r="AB33" s="30">
        <f>SUM(C33:X33)</f>
        <v>140.2907971631991</v>
      </c>
      <c r="AC33" s="30">
        <f>SUM(C33:K33)</f>
        <v>1156.4778709791544</v>
      </c>
      <c r="AD33" s="30">
        <f>SUM(L33:N33)</f>
        <v>-847.42227597682654</v>
      </c>
      <c r="AE33" s="30">
        <f>SUM(O33:X33)</f>
        <v>-168.76479783912879</v>
      </c>
      <c r="AF33" s="24">
        <f>SUM(AC33:AE33)</f>
        <v>140.2907971631991</v>
      </c>
    </row>
    <row r="34" spans="1:32" s="24" customFormat="1" ht="13.5">
      <c r="A34" s="12" t="s">
        <v>47</v>
      </c>
      <c r="B34" s="36"/>
      <c r="C34" s="36">
        <f t="shared" ref="C34:X34" si="22">C33/C32*C21</f>
        <v>97.344617145433233</v>
      </c>
      <c r="D34" s="36">
        <f t="shared" si="22"/>
        <v>36.810382451772249</v>
      </c>
      <c r="E34" s="36">
        <f t="shared" si="22"/>
        <v>80.653443338519111</v>
      </c>
      <c r="F34" s="36">
        <f t="shared" si="22"/>
        <v>-10.082763733753527</v>
      </c>
      <c r="G34" s="36">
        <f t="shared" si="22"/>
        <v>130.07103531534025</v>
      </c>
      <c r="H34" s="36">
        <f t="shared" si="22"/>
        <v>152.65533536343668</v>
      </c>
      <c r="I34" s="36">
        <f t="shared" si="22"/>
        <v>250.02733395824555</v>
      </c>
      <c r="J34" s="36">
        <f t="shared" si="22"/>
        <v>276.86283882898198</v>
      </c>
      <c r="K34" s="36">
        <f t="shared" si="22"/>
        <v>470.1645379095857</v>
      </c>
      <c r="L34" s="36">
        <f t="shared" si="22"/>
        <v>-78.832689586579889</v>
      </c>
      <c r="M34" s="36">
        <f t="shared" si="22"/>
        <v>-173.48170945568367</v>
      </c>
      <c r="N34" s="36">
        <f t="shared" si="22"/>
        <v>-322.16675854078665</v>
      </c>
      <c r="O34" s="36">
        <f t="shared" si="22"/>
        <v>133.90436219159201</v>
      </c>
      <c r="P34" s="36">
        <f t="shared" si="22"/>
        <v>132.43460947560104</v>
      </c>
      <c r="Q34" s="36">
        <f t="shared" si="22"/>
        <v>-25.748784456690203</v>
      </c>
      <c r="R34" s="36">
        <f t="shared" si="22"/>
        <v>20.284594147741142</v>
      </c>
      <c r="S34" s="36">
        <f t="shared" si="22"/>
        <v>-12.646536320178276</v>
      </c>
      <c r="T34" s="36">
        <f t="shared" si="22"/>
        <v>-280.80657612766214</v>
      </c>
      <c r="U34" s="36">
        <f t="shared" si="22"/>
        <v>-0.22361823866704689</v>
      </c>
      <c r="V34" s="36">
        <f t="shared" si="22"/>
        <v>38.672661180000034</v>
      </c>
      <c r="W34" s="36">
        <f t="shared" si="22"/>
        <v>-6.1981890000000268</v>
      </c>
      <c r="X34" s="36">
        <f t="shared" si="22"/>
        <v>31.025200000000012</v>
      </c>
      <c r="Y34" s="36">
        <f t="shared" ref="Y34:Z34" si="23">Y33/Y32*Y21</f>
        <v>59.329532710280333</v>
      </c>
      <c r="Z34" s="36">
        <f t="shared" si="23"/>
        <v>-26.049087256528928</v>
      </c>
      <c r="AA34" s="45"/>
      <c r="AB34" s="30">
        <f>SUM(C34:X34)</f>
        <v>940.7233258462478</v>
      </c>
      <c r="AC34" s="30">
        <f>SUM(C34:K34)</f>
        <v>1484.5067605775612</v>
      </c>
      <c r="AD34" s="30">
        <f>SUM(L34:N34)</f>
        <v>-574.48115758305016</v>
      </c>
      <c r="AE34" s="30">
        <f>SUM(O34:X34)</f>
        <v>30.697722851736529</v>
      </c>
      <c r="AF34" s="24">
        <f>SUM(AC34:AE34)</f>
        <v>940.72332584624758</v>
      </c>
    </row>
    <row r="35" spans="1:32" s="11" customFormat="1" ht="13.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5"/>
      <c r="AB35" s="28"/>
      <c r="AC35" s="28"/>
      <c r="AD35" s="28"/>
      <c r="AE35" s="28"/>
    </row>
    <row r="36" spans="1:32" s="11" customFormat="1" ht="13.5">
      <c r="A36" s="33" t="s">
        <v>39</v>
      </c>
      <c r="B36" s="34"/>
      <c r="C36" s="34">
        <f>-C73*(B74+C74)/2000</f>
        <v>0.72821270852070719</v>
      </c>
      <c r="D36" s="34">
        <f t="shared" ref="D36:X36" si="24">-D73*(C74+D74)/2000</f>
        <v>1.0167921037688419</v>
      </c>
      <c r="E36" s="34">
        <f t="shared" si="24"/>
        <v>0.1050869077670622</v>
      </c>
      <c r="F36" s="34">
        <f>-(F72/2 -E72)*(E74)/1000</f>
        <v>-0.19873799586135937</v>
      </c>
      <c r="G36" s="34">
        <f t="shared" si="24"/>
        <v>2.4222395033403163</v>
      </c>
      <c r="H36" s="34">
        <f t="shared" si="24"/>
        <v>2.0380268021281513</v>
      </c>
      <c r="I36" s="34">
        <f>-(I72/2 -H72)*(H74)/1000</f>
        <v>0.99448488745277563</v>
      </c>
      <c r="J36" s="34">
        <f t="shared" si="24"/>
        <v>-0.36030788136702346</v>
      </c>
      <c r="K36" s="34">
        <f t="shared" si="24"/>
        <v>-0.10475400637750158</v>
      </c>
      <c r="L36" s="34">
        <f>-(L72/3 -K72)*(K74)/1000</f>
        <v>-3.9127514878194272</v>
      </c>
      <c r="M36" s="34">
        <f t="shared" si="24"/>
        <v>-0.81768239682448629</v>
      </c>
      <c r="N36" s="34">
        <f t="shared" si="24"/>
        <v>-0.71162903325952132</v>
      </c>
      <c r="O36" s="34">
        <f t="shared" si="24"/>
        <v>-3.1441258203318978</v>
      </c>
      <c r="P36" s="34">
        <f t="shared" si="24"/>
        <v>-17.173994738185769</v>
      </c>
      <c r="Q36" s="34">
        <f t="shared" si="24"/>
        <v>0.2135767067678366</v>
      </c>
      <c r="R36" s="34">
        <f t="shared" si="24"/>
        <v>9.323703995730245</v>
      </c>
      <c r="S36" s="34">
        <f t="shared" si="24"/>
        <v>7.4981905674593694</v>
      </c>
      <c r="T36" s="34">
        <f t="shared" si="24"/>
        <v>4.0153298571717055</v>
      </c>
      <c r="U36" s="34">
        <f t="shared" si="24"/>
        <v>-10.84070880904032</v>
      </c>
      <c r="V36" s="34">
        <f t="shared" si="24"/>
        <v>-0.12081324825337934</v>
      </c>
      <c r="W36" s="34">
        <f t="shared" si="24"/>
        <v>1.762395772779582</v>
      </c>
      <c r="X36" s="34">
        <f t="shared" si="24"/>
        <v>1.3819212310562641</v>
      </c>
      <c r="Y36" s="34">
        <f t="shared" ref="Y36" si="25">-Y73*(X74+Y74)/2000</f>
        <v>9.0424686522655744</v>
      </c>
      <c r="Z36" s="34">
        <f t="shared" ref="Z36" si="26">-Z73*(Y74+Z74)/2000</f>
        <v>2.0035469184079555</v>
      </c>
      <c r="AA36" s="35"/>
      <c r="AB36" s="28"/>
      <c r="AC36" s="28"/>
      <c r="AD36" s="28"/>
      <c r="AE36" s="28"/>
    </row>
    <row r="37" spans="1:32" s="78" customFormat="1" ht="13.5">
      <c r="A37" s="39" t="s">
        <v>38</v>
      </c>
      <c r="B37" s="75"/>
      <c r="C37" s="75">
        <f>C19-(B19+C80-C22-C23)</f>
        <v>-1.9508097813458001</v>
      </c>
      <c r="D37" s="75">
        <f t="shared" ref="D37:X37" si="27">D19-(C19+D80-D22-D23)</f>
        <v>-0.1659919348785408</v>
      </c>
      <c r="E37" s="75">
        <f t="shared" si="27"/>
        <v>0.21766817719820253</v>
      </c>
      <c r="F37" s="75">
        <f t="shared" si="27"/>
        <v>-1.8149928117644407</v>
      </c>
      <c r="G37" s="75">
        <f t="shared" si="27"/>
        <v>1.8635665683018523</v>
      </c>
      <c r="H37" s="75">
        <f t="shared" si="27"/>
        <v>-0.67260771328656688</v>
      </c>
      <c r="I37" s="75">
        <f t="shared" si="27"/>
        <v>-0.42992002522751704</v>
      </c>
      <c r="J37" s="75">
        <f t="shared" si="27"/>
        <v>-1.3649251033429763</v>
      </c>
      <c r="K37" s="75">
        <f t="shared" si="27"/>
        <v>-2.8218582052898</v>
      </c>
      <c r="L37" s="75">
        <f t="shared" si="27"/>
        <v>-3.1857213106790709</v>
      </c>
      <c r="M37" s="75">
        <f t="shared" si="27"/>
        <v>-4.2105477731608545</v>
      </c>
      <c r="N37" s="75">
        <f t="shared" si="27"/>
        <v>5.7326997946645974E-2</v>
      </c>
      <c r="O37" s="75">
        <f t="shared" si="27"/>
        <v>4.5118343381254959</v>
      </c>
      <c r="P37" s="75">
        <f t="shared" si="27"/>
        <v>6.6315413212881253</v>
      </c>
      <c r="Q37" s="75">
        <f t="shared" si="27"/>
        <v>-6.8891704211831239</v>
      </c>
      <c r="R37" s="75">
        <f t="shared" si="27"/>
        <v>0.93450624606552424</v>
      </c>
      <c r="S37" s="75">
        <f t="shared" si="27"/>
        <v>1.3845124348748783</v>
      </c>
      <c r="T37" s="75">
        <f t="shared" si="27"/>
        <v>-18.68509836434265</v>
      </c>
      <c r="U37" s="75">
        <f t="shared" si="27"/>
        <v>6.430468384517539</v>
      </c>
      <c r="V37" s="75">
        <f t="shared" si="27"/>
        <v>-5.0240315582293817</v>
      </c>
      <c r="W37" s="75">
        <f t="shared" si="27"/>
        <v>-8.4411003889185707</v>
      </c>
      <c r="X37" s="75">
        <f t="shared" si="27"/>
        <v>2.3956261182530625</v>
      </c>
      <c r="Y37" s="75">
        <f t="shared" ref="Y37" si="28">Y19-(X19+Y80-Y22-Y23)</f>
        <v>2.6002198229213604</v>
      </c>
      <c r="Z37" s="75" t="e">
        <f t="shared" ref="Z37" si="29">Z19-(Y19+Z80-Z22-Z23)</f>
        <v>#VALUE!</v>
      </c>
      <c r="AA37" s="76"/>
      <c r="AB37" s="77"/>
      <c r="AC37" s="77"/>
      <c r="AD37" s="77"/>
      <c r="AE37" s="77"/>
    </row>
    <row r="38" spans="1:32" s="11" customFormat="1" ht="13.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5"/>
      <c r="AB38" s="28"/>
      <c r="AC38" s="28"/>
      <c r="AD38" s="28"/>
      <c r="AE38" s="28"/>
    </row>
    <row r="39" spans="1:32" s="11" customFormat="1" ht="13.5">
      <c r="A39" s="33" t="s">
        <v>46</v>
      </c>
      <c r="B39" s="34">
        <f>-B$20</f>
        <v>-50.344880000000003</v>
      </c>
      <c r="C39" s="34">
        <f>C22+C23</f>
        <v>2.5426908928433973</v>
      </c>
      <c r="D39" s="34">
        <f t="shared" ref="D39:W39" si="30">D22+D23</f>
        <v>2.8909014552013228</v>
      </c>
      <c r="E39" s="34">
        <f t="shared" si="30"/>
        <v>2.2670641998834897</v>
      </c>
      <c r="F39" s="34">
        <f t="shared" si="30"/>
        <v>2.2675283566924622</v>
      </c>
      <c r="G39" s="34">
        <f t="shared" si="30"/>
        <v>5.164797881433163</v>
      </c>
      <c r="H39" s="34">
        <f t="shared" si="30"/>
        <v>5.115384623878187</v>
      </c>
      <c r="I39" s="34">
        <f t="shared" si="30"/>
        <v>4.4565521969947079</v>
      </c>
      <c r="J39" s="34">
        <f t="shared" si="30"/>
        <v>3.4780384646981801</v>
      </c>
      <c r="K39" s="34">
        <f t="shared" si="30"/>
        <v>4.3700643093814602</v>
      </c>
      <c r="L39" s="34">
        <f t="shared" si="30"/>
        <v>1.6582212014574305</v>
      </c>
      <c r="M39" s="34">
        <f t="shared" si="30"/>
        <v>5.4832619192515626</v>
      </c>
      <c r="N39" s="34">
        <f t="shared" si="30"/>
        <v>6.4082066534855704</v>
      </c>
      <c r="O39" s="34">
        <f t="shared" si="30"/>
        <v>4.5629189538175687</v>
      </c>
      <c r="P39" s="34">
        <f t="shared" si="30"/>
        <v>-7.9019765902419774</v>
      </c>
      <c r="Q39" s="34">
        <f t="shared" si="30"/>
        <v>9.4947188645311513</v>
      </c>
      <c r="R39" s="34">
        <f t="shared" si="30"/>
        <v>19.008816120015105</v>
      </c>
      <c r="S39" s="34">
        <f t="shared" si="30"/>
        <v>19.591510596639573</v>
      </c>
      <c r="T39" s="34">
        <f>T22+T23</f>
        <v>17.534190554369012</v>
      </c>
      <c r="U39" s="34">
        <f t="shared" si="30"/>
        <v>-0.63738348709266823</v>
      </c>
      <c r="V39" s="34">
        <f t="shared" si="30"/>
        <v>4.6615319698225246</v>
      </c>
      <c r="W39" s="34">
        <f t="shared" si="30"/>
        <v>8.1897032920630171</v>
      </c>
      <c r="X39" s="34">
        <f>X22+X23+X20</f>
        <v>229.06532277503945</v>
      </c>
      <c r="Y39" s="34">
        <f t="shared" ref="Y39:Z39" si="31">Y22+Y23</f>
        <v>7.9927223000000005</v>
      </c>
      <c r="Z39" s="34">
        <f t="shared" si="31"/>
        <v>8.9375491</v>
      </c>
      <c r="AA39" s="52">
        <f t="shared" ref="AA39:AA60" si="32">IRR(B39:X39)</f>
        <v>0.12164829373391584</v>
      </c>
      <c r="AB39" s="28"/>
      <c r="AC39" s="28"/>
      <c r="AD39" s="28"/>
      <c r="AE39" s="28"/>
    </row>
    <row r="40" spans="1:32" s="11" customFormat="1" ht="13.5">
      <c r="A40" s="33"/>
      <c r="B40" s="34"/>
      <c r="C40" s="34">
        <f>-C$20</f>
        <v>-66.294250000000005</v>
      </c>
      <c r="D40" s="34">
        <f t="shared" ref="D40:X40" si="33">D39</f>
        <v>2.8909014552013228</v>
      </c>
      <c r="E40" s="34">
        <f t="shared" si="33"/>
        <v>2.2670641998834897</v>
      </c>
      <c r="F40" s="34">
        <f t="shared" si="33"/>
        <v>2.2675283566924622</v>
      </c>
      <c r="G40" s="34">
        <f t="shared" si="33"/>
        <v>5.164797881433163</v>
      </c>
      <c r="H40" s="34">
        <f t="shared" si="33"/>
        <v>5.115384623878187</v>
      </c>
      <c r="I40" s="34">
        <f t="shared" si="33"/>
        <v>4.4565521969947079</v>
      </c>
      <c r="J40" s="34">
        <f t="shared" si="33"/>
        <v>3.4780384646981801</v>
      </c>
      <c r="K40" s="34">
        <f t="shared" si="33"/>
        <v>4.3700643093814602</v>
      </c>
      <c r="L40" s="34">
        <f t="shared" si="33"/>
        <v>1.6582212014574305</v>
      </c>
      <c r="M40" s="34">
        <f t="shared" si="33"/>
        <v>5.4832619192515626</v>
      </c>
      <c r="N40" s="34">
        <f t="shared" si="33"/>
        <v>6.4082066534855704</v>
      </c>
      <c r="O40" s="34">
        <f t="shared" si="33"/>
        <v>4.5629189538175687</v>
      </c>
      <c r="P40" s="34">
        <f t="shared" si="33"/>
        <v>-7.9019765902419774</v>
      </c>
      <c r="Q40" s="34">
        <f t="shared" si="33"/>
        <v>9.4947188645311513</v>
      </c>
      <c r="R40" s="34">
        <f t="shared" si="33"/>
        <v>19.008816120015105</v>
      </c>
      <c r="S40" s="34">
        <f t="shared" si="33"/>
        <v>19.591510596639573</v>
      </c>
      <c r="T40" s="34">
        <f t="shared" si="33"/>
        <v>17.534190554369012</v>
      </c>
      <c r="U40" s="34">
        <f t="shared" si="33"/>
        <v>-0.63738348709266823</v>
      </c>
      <c r="V40" s="34">
        <f t="shared" si="33"/>
        <v>4.6615319698225246</v>
      </c>
      <c r="W40" s="34">
        <f t="shared" si="33"/>
        <v>8.1897032920630171</v>
      </c>
      <c r="X40" s="34">
        <f t="shared" si="33"/>
        <v>229.06532277503945</v>
      </c>
      <c r="Y40" s="34">
        <f t="shared" ref="Y40:Z57" si="34">Y39</f>
        <v>7.9927223000000005</v>
      </c>
      <c r="Z40" s="34">
        <f t="shared" si="34"/>
        <v>8.9375491</v>
      </c>
      <c r="AA40" s="52">
        <f t="shared" si="32"/>
        <v>0.10528199318718934</v>
      </c>
      <c r="AB40" s="28"/>
      <c r="AC40" s="28"/>
      <c r="AD40" s="28"/>
      <c r="AE40" s="28"/>
    </row>
    <row r="41" spans="1:32" s="11" customFormat="1" ht="13.5">
      <c r="A41" s="33"/>
      <c r="B41" s="34"/>
      <c r="C41" s="34"/>
      <c r="D41" s="34">
        <f>-D$20</f>
        <v>-73.020250000000004</v>
      </c>
      <c r="E41" s="34">
        <f t="shared" ref="E41:K41" si="35">E40</f>
        <v>2.2670641998834897</v>
      </c>
      <c r="F41" s="34">
        <f t="shared" si="35"/>
        <v>2.2675283566924622</v>
      </c>
      <c r="G41" s="34">
        <f t="shared" si="35"/>
        <v>5.164797881433163</v>
      </c>
      <c r="H41" s="34">
        <f t="shared" si="35"/>
        <v>5.115384623878187</v>
      </c>
      <c r="I41" s="34">
        <f t="shared" si="35"/>
        <v>4.4565521969947079</v>
      </c>
      <c r="J41" s="34">
        <f t="shared" si="35"/>
        <v>3.4780384646981801</v>
      </c>
      <c r="K41" s="34">
        <f t="shared" si="35"/>
        <v>4.3700643093814602</v>
      </c>
      <c r="L41" s="34">
        <f t="shared" ref="L41:L48" si="36">L40</f>
        <v>1.6582212014574305</v>
      </c>
      <c r="M41" s="34">
        <f t="shared" ref="M41:M49" si="37">M40</f>
        <v>5.4832619192515626</v>
      </c>
      <c r="N41" s="34">
        <f t="shared" ref="N41:N50" si="38">N40</f>
        <v>6.4082066534855704</v>
      </c>
      <c r="O41" s="34">
        <f t="shared" ref="O41:O51" si="39">O40</f>
        <v>4.5629189538175687</v>
      </c>
      <c r="P41" s="34">
        <f t="shared" ref="P41:P52" si="40">P40</f>
        <v>-7.9019765902419774</v>
      </c>
      <c r="Q41" s="34">
        <f t="shared" ref="Q41:Q53" si="41">Q40</f>
        <v>9.4947188645311513</v>
      </c>
      <c r="R41" s="34">
        <f t="shared" ref="R41:R54" si="42">R40</f>
        <v>19.008816120015105</v>
      </c>
      <c r="S41" s="34">
        <f t="shared" ref="S41:S55" si="43">S40</f>
        <v>19.591510596639573</v>
      </c>
      <c r="T41" s="34">
        <f t="shared" ref="T41:T56" si="44">T40</f>
        <v>17.534190554369012</v>
      </c>
      <c r="U41" s="34">
        <f t="shared" ref="U41:U57" si="45">U40</f>
        <v>-0.63738348709266823</v>
      </c>
      <c r="V41" s="34">
        <f t="shared" ref="V41:V58" si="46">V40</f>
        <v>4.6615319698225246</v>
      </c>
      <c r="W41" s="34">
        <f t="shared" ref="W41:W59" si="47">W40</f>
        <v>8.1897032920630171</v>
      </c>
      <c r="X41" s="34">
        <f t="shared" ref="X41:X60" si="48">X40</f>
        <v>229.06532277503945</v>
      </c>
      <c r="Y41" s="34">
        <f t="shared" si="34"/>
        <v>7.9927223000000005</v>
      </c>
      <c r="Z41" s="34">
        <f t="shared" si="34"/>
        <v>8.9375491</v>
      </c>
      <c r="AA41" s="52">
        <f t="shared" si="32"/>
        <v>0.10238919756620923</v>
      </c>
      <c r="AB41" s="28"/>
      <c r="AC41" s="28"/>
      <c r="AD41" s="28"/>
      <c r="AE41" s="28"/>
    </row>
    <row r="42" spans="1:32" s="11" customFormat="1" ht="13.5">
      <c r="A42" s="33"/>
      <c r="B42" s="34"/>
      <c r="C42" s="34"/>
      <c r="D42" s="34"/>
      <c r="E42" s="34">
        <f>-E$20</f>
        <v>-89.451499999999996</v>
      </c>
      <c r="F42" s="34">
        <f t="shared" ref="F42:K42" si="49">F41</f>
        <v>2.2675283566924622</v>
      </c>
      <c r="G42" s="34">
        <f t="shared" si="49"/>
        <v>5.164797881433163</v>
      </c>
      <c r="H42" s="34">
        <f t="shared" si="49"/>
        <v>5.115384623878187</v>
      </c>
      <c r="I42" s="34">
        <f t="shared" si="49"/>
        <v>4.4565521969947079</v>
      </c>
      <c r="J42" s="34">
        <f t="shared" si="49"/>
        <v>3.4780384646981801</v>
      </c>
      <c r="K42" s="34">
        <f t="shared" si="49"/>
        <v>4.3700643093814602</v>
      </c>
      <c r="L42" s="34">
        <f t="shared" si="36"/>
        <v>1.6582212014574305</v>
      </c>
      <c r="M42" s="34">
        <f t="shared" si="37"/>
        <v>5.4832619192515626</v>
      </c>
      <c r="N42" s="34">
        <f t="shared" si="38"/>
        <v>6.4082066534855704</v>
      </c>
      <c r="O42" s="34">
        <f t="shared" si="39"/>
        <v>4.5629189538175687</v>
      </c>
      <c r="P42" s="34">
        <f t="shared" si="40"/>
        <v>-7.9019765902419774</v>
      </c>
      <c r="Q42" s="34">
        <f t="shared" si="41"/>
        <v>9.4947188645311513</v>
      </c>
      <c r="R42" s="34">
        <f t="shared" si="42"/>
        <v>19.008816120015105</v>
      </c>
      <c r="S42" s="34">
        <f t="shared" si="43"/>
        <v>19.591510596639573</v>
      </c>
      <c r="T42" s="34">
        <f t="shared" si="44"/>
        <v>17.534190554369012</v>
      </c>
      <c r="U42" s="34">
        <f t="shared" si="45"/>
        <v>-0.63738348709266823</v>
      </c>
      <c r="V42" s="34">
        <f t="shared" si="46"/>
        <v>4.6615319698225246</v>
      </c>
      <c r="W42" s="34">
        <f t="shared" si="47"/>
        <v>8.1897032920630171</v>
      </c>
      <c r="X42" s="34">
        <f t="shared" si="48"/>
        <v>229.06532277503945</v>
      </c>
      <c r="Y42" s="34">
        <f t="shared" si="34"/>
        <v>7.9927223000000005</v>
      </c>
      <c r="Z42" s="34">
        <f t="shared" si="34"/>
        <v>8.9375491</v>
      </c>
      <c r="AA42" s="52">
        <f t="shared" si="32"/>
        <v>9.1632989861837988E-2</v>
      </c>
      <c r="AB42" s="28"/>
      <c r="AC42" s="28"/>
      <c r="AD42" s="28"/>
      <c r="AE42" s="28"/>
    </row>
    <row r="43" spans="1:32" s="11" customFormat="1" ht="13.5">
      <c r="A43" s="33"/>
      <c r="B43" s="34"/>
      <c r="C43" s="34"/>
      <c r="D43" s="34"/>
      <c r="E43" s="34"/>
      <c r="F43" s="34">
        <f>-F$20</f>
        <v>-87.192630000000008</v>
      </c>
      <c r="G43" s="34">
        <f>G42</f>
        <v>5.164797881433163</v>
      </c>
      <c r="H43" s="34">
        <f>H42</f>
        <v>5.115384623878187</v>
      </c>
      <c r="I43" s="34">
        <f>I42</f>
        <v>4.4565521969947079</v>
      </c>
      <c r="J43" s="34">
        <f>J42</f>
        <v>3.4780384646981801</v>
      </c>
      <c r="K43" s="34">
        <f>K42</f>
        <v>4.3700643093814602</v>
      </c>
      <c r="L43" s="34">
        <f t="shared" si="36"/>
        <v>1.6582212014574305</v>
      </c>
      <c r="M43" s="34">
        <f t="shared" si="37"/>
        <v>5.4832619192515626</v>
      </c>
      <c r="N43" s="34">
        <f t="shared" si="38"/>
        <v>6.4082066534855704</v>
      </c>
      <c r="O43" s="34">
        <f t="shared" si="39"/>
        <v>4.5629189538175687</v>
      </c>
      <c r="P43" s="34">
        <f t="shared" si="40"/>
        <v>-7.9019765902419774</v>
      </c>
      <c r="Q43" s="34">
        <f t="shared" si="41"/>
        <v>9.4947188645311513</v>
      </c>
      <c r="R43" s="34">
        <f t="shared" si="42"/>
        <v>19.008816120015105</v>
      </c>
      <c r="S43" s="34">
        <f t="shared" si="43"/>
        <v>19.591510596639573</v>
      </c>
      <c r="T43" s="34">
        <f t="shared" si="44"/>
        <v>17.534190554369012</v>
      </c>
      <c r="U43" s="34">
        <f t="shared" si="45"/>
        <v>-0.63738348709266823</v>
      </c>
      <c r="V43" s="34">
        <f t="shared" si="46"/>
        <v>4.6615319698225246</v>
      </c>
      <c r="W43" s="34">
        <f t="shared" si="47"/>
        <v>8.1897032920630171</v>
      </c>
      <c r="X43" s="34">
        <f t="shared" si="48"/>
        <v>229.06532277503945</v>
      </c>
      <c r="Y43" s="34">
        <f t="shared" si="34"/>
        <v>7.9927223000000005</v>
      </c>
      <c r="Z43" s="34">
        <f t="shared" si="34"/>
        <v>8.9375491</v>
      </c>
      <c r="AA43" s="52">
        <f t="shared" si="32"/>
        <v>9.9169204381073683E-2</v>
      </c>
      <c r="AB43" s="28"/>
      <c r="AC43" s="28"/>
      <c r="AD43" s="28"/>
      <c r="AE43" s="28"/>
    </row>
    <row r="44" spans="1:32" s="11" customFormat="1" ht="13.5">
      <c r="A44" s="33"/>
      <c r="B44" s="34"/>
      <c r="C44" s="34"/>
      <c r="D44" s="34"/>
      <c r="E44" s="34"/>
      <c r="F44" s="34"/>
      <c r="G44" s="34">
        <f>-G$20</f>
        <v>-120.2598</v>
      </c>
      <c r="H44" s="34">
        <f>H43</f>
        <v>5.115384623878187</v>
      </c>
      <c r="I44" s="34">
        <f>I43</f>
        <v>4.4565521969947079</v>
      </c>
      <c r="J44" s="34">
        <f>J43</f>
        <v>3.4780384646981801</v>
      </c>
      <c r="K44" s="34">
        <f>K43</f>
        <v>4.3700643093814602</v>
      </c>
      <c r="L44" s="34">
        <f t="shared" si="36"/>
        <v>1.6582212014574305</v>
      </c>
      <c r="M44" s="34">
        <f t="shared" si="37"/>
        <v>5.4832619192515626</v>
      </c>
      <c r="N44" s="34">
        <f t="shared" si="38"/>
        <v>6.4082066534855704</v>
      </c>
      <c r="O44" s="34">
        <f t="shared" si="39"/>
        <v>4.5629189538175687</v>
      </c>
      <c r="P44" s="34">
        <f t="shared" si="40"/>
        <v>-7.9019765902419774</v>
      </c>
      <c r="Q44" s="34">
        <f t="shared" si="41"/>
        <v>9.4947188645311513</v>
      </c>
      <c r="R44" s="34">
        <f t="shared" si="42"/>
        <v>19.008816120015105</v>
      </c>
      <c r="S44" s="34">
        <f t="shared" si="43"/>
        <v>19.591510596639573</v>
      </c>
      <c r="T44" s="34">
        <f t="shared" si="44"/>
        <v>17.534190554369012</v>
      </c>
      <c r="U44" s="34">
        <f t="shared" si="45"/>
        <v>-0.63738348709266823</v>
      </c>
      <c r="V44" s="34">
        <f t="shared" si="46"/>
        <v>4.6615319698225246</v>
      </c>
      <c r="W44" s="34">
        <f t="shared" si="47"/>
        <v>8.1897032920630171</v>
      </c>
      <c r="X44" s="34">
        <f t="shared" si="48"/>
        <v>229.06532277503945</v>
      </c>
      <c r="Y44" s="34">
        <f t="shared" si="34"/>
        <v>7.9927223000000005</v>
      </c>
      <c r="Z44" s="34">
        <f t="shared" si="34"/>
        <v>8.9375491</v>
      </c>
      <c r="AA44" s="52">
        <f t="shared" si="32"/>
        <v>7.540708015809261E-2</v>
      </c>
      <c r="AB44" s="28"/>
      <c r="AC44" s="28"/>
      <c r="AD44" s="28"/>
      <c r="AE44" s="28"/>
    </row>
    <row r="45" spans="1:32" s="11" customFormat="1" ht="13.5">
      <c r="A45" s="33"/>
      <c r="B45" s="34"/>
      <c r="C45" s="34"/>
      <c r="D45" s="34"/>
      <c r="E45" s="34"/>
      <c r="F45" s="34"/>
      <c r="G45" s="34"/>
      <c r="H45" s="34">
        <f>-H$20</f>
        <v>-162.78980000000001</v>
      </c>
      <c r="I45" s="34">
        <f>I44</f>
        <v>4.4565521969947079</v>
      </c>
      <c r="J45" s="34">
        <f>J44</f>
        <v>3.4780384646981801</v>
      </c>
      <c r="K45" s="34">
        <f>K44</f>
        <v>4.3700643093814602</v>
      </c>
      <c r="L45" s="34">
        <f t="shared" si="36"/>
        <v>1.6582212014574305</v>
      </c>
      <c r="M45" s="34">
        <f t="shared" si="37"/>
        <v>5.4832619192515626</v>
      </c>
      <c r="N45" s="34">
        <f t="shared" si="38"/>
        <v>6.4082066534855704</v>
      </c>
      <c r="O45" s="34">
        <f t="shared" si="39"/>
        <v>4.5629189538175687</v>
      </c>
      <c r="P45" s="34">
        <f t="shared" si="40"/>
        <v>-7.9019765902419774</v>
      </c>
      <c r="Q45" s="34">
        <f t="shared" si="41"/>
        <v>9.4947188645311513</v>
      </c>
      <c r="R45" s="34">
        <f t="shared" si="42"/>
        <v>19.008816120015105</v>
      </c>
      <c r="S45" s="34">
        <f t="shared" si="43"/>
        <v>19.591510596639573</v>
      </c>
      <c r="T45" s="34">
        <f t="shared" si="44"/>
        <v>17.534190554369012</v>
      </c>
      <c r="U45" s="34">
        <f t="shared" si="45"/>
        <v>-0.63738348709266823</v>
      </c>
      <c r="V45" s="34">
        <f t="shared" si="46"/>
        <v>4.6615319698225246</v>
      </c>
      <c r="W45" s="34">
        <f t="shared" si="47"/>
        <v>8.1897032920630171</v>
      </c>
      <c r="X45" s="34">
        <f t="shared" si="48"/>
        <v>229.06532277503945</v>
      </c>
      <c r="Y45" s="34">
        <f t="shared" si="34"/>
        <v>7.9927223000000005</v>
      </c>
      <c r="Z45" s="34">
        <f t="shared" si="34"/>
        <v>8.9375491</v>
      </c>
      <c r="AA45" s="52">
        <f t="shared" si="32"/>
        <v>5.3179840898946118E-2</v>
      </c>
      <c r="AB45" s="28"/>
      <c r="AC45" s="28"/>
      <c r="AD45" s="28"/>
      <c r="AE45" s="28"/>
    </row>
    <row r="46" spans="1:32" s="11" customFormat="1" ht="13.5">
      <c r="A46" s="33"/>
      <c r="B46" s="34"/>
      <c r="C46" s="34"/>
      <c r="D46" s="34"/>
      <c r="E46" s="34"/>
      <c r="F46" s="34"/>
      <c r="G46" s="34"/>
      <c r="H46" s="34"/>
      <c r="I46" s="34">
        <f>-I$20</f>
        <v>-240.1361</v>
      </c>
      <c r="J46" s="34">
        <f>J45</f>
        <v>3.4780384646981801</v>
      </c>
      <c r="K46" s="34">
        <f>K45</f>
        <v>4.3700643093814602</v>
      </c>
      <c r="L46" s="34">
        <f t="shared" si="36"/>
        <v>1.6582212014574305</v>
      </c>
      <c r="M46" s="34">
        <f t="shared" si="37"/>
        <v>5.4832619192515626</v>
      </c>
      <c r="N46" s="34">
        <f t="shared" si="38"/>
        <v>6.4082066534855704</v>
      </c>
      <c r="O46" s="34">
        <f t="shared" si="39"/>
        <v>4.5629189538175687</v>
      </c>
      <c r="P46" s="34">
        <f t="shared" si="40"/>
        <v>-7.9019765902419774</v>
      </c>
      <c r="Q46" s="34">
        <f t="shared" si="41"/>
        <v>9.4947188645311513</v>
      </c>
      <c r="R46" s="34">
        <f t="shared" si="42"/>
        <v>19.008816120015105</v>
      </c>
      <c r="S46" s="34">
        <f t="shared" si="43"/>
        <v>19.591510596639573</v>
      </c>
      <c r="T46" s="34">
        <f t="shared" si="44"/>
        <v>17.534190554369012</v>
      </c>
      <c r="U46" s="34">
        <f t="shared" si="45"/>
        <v>-0.63738348709266823</v>
      </c>
      <c r="V46" s="34">
        <f t="shared" si="46"/>
        <v>4.6615319698225246</v>
      </c>
      <c r="W46" s="34">
        <f t="shared" si="47"/>
        <v>8.1897032920630171</v>
      </c>
      <c r="X46" s="34">
        <f t="shared" si="48"/>
        <v>229.06532277503945</v>
      </c>
      <c r="Y46" s="34">
        <f t="shared" si="34"/>
        <v>7.9927223000000005</v>
      </c>
      <c r="Z46" s="34">
        <f t="shared" si="34"/>
        <v>8.9375491</v>
      </c>
      <c r="AA46" s="52">
        <f t="shared" si="32"/>
        <v>2.3470061725092917E-2</v>
      </c>
      <c r="AB46" s="28"/>
      <c r="AC46" s="28"/>
      <c r="AD46" s="28"/>
      <c r="AE46" s="28"/>
    </row>
    <row r="47" spans="1:32" s="11" customFormat="1" ht="13.5">
      <c r="A47" s="33"/>
      <c r="B47" s="34"/>
      <c r="C47" s="34"/>
      <c r="D47" s="34"/>
      <c r="E47" s="34"/>
      <c r="F47" s="34"/>
      <c r="G47" s="34"/>
      <c r="H47" s="34"/>
      <c r="I47" s="34"/>
      <c r="J47" s="34">
        <f>-J$20</f>
        <v>-334.23690000000005</v>
      </c>
      <c r="K47" s="34">
        <f>K46</f>
        <v>4.3700643093814602</v>
      </c>
      <c r="L47" s="34">
        <f t="shared" si="36"/>
        <v>1.6582212014574305</v>
      </c>
      <c r="M47" s="34">
        <f t="shared" si="37"/>
        <v>5.4832619192515626</v>
      </c>
      <c r="N47" s="34">
        <f t="shared" si="38"/>
        <v>6.4082066534855704</v>
      </c>
      <c r="O47" s="34">
        <f t="shared" si="39"/>
        <v>4.5629189538175687</v>
      </c>
      <c r="P47" s="34">
        <f t="shared" si="40"/>
        <v>-7.9019765902419774</v>
      </c>
      <c r="Q47" s="34">
        <f t="shared" si="41"/>
        <v>9.4947188645311513</v>
      </c>
      <c r="R47" s="34">
        <f t="shared" si="42"/>
        <v>19.008816120015105</v>
      </c>
      <c r="S47" s="34">
        <f t="shared" si="43"/>
        <v>19.591510596639573</v>
      </c>
      <c r="T47" s="34">
        <f t="shared" si="44"/>
        <v>17.534190554369012</v>
      </c>
      <c r="U47" s="34">
        <f t="shared" si="45"/>
        <v>-0.63738348709266823</v>
      </c>
      <c r="V47" s="34">
        <f t="shared" si="46"/>
        <v>4.6615319698225246</v>
      </c>
      <c r="W47" s="34">
        <f t="shared" si="47"/>
        <v>8.1897032920630171</v>
      </c>
      <c r="X47" s="34">
        <f t="shared" si="48"/>
        <v>229.06532277503945</v>
      </c>
      <c r="Y47" s="34">
        <f t="shared" si="34"/>
        <v>7.9927223000000005</v>
      </c>
      <c r="Z47" s="34">
        <f t="shared" si="34"/>
        <v>8.9375491</v>
      </c>
      <c r="AA47" s="53">
        <f t="shared" si="32"/>
        <v>-3.1498754952988817E-3</v>
      </c>
      <c r="AB47" s="28"/>
      <c r="AC47" s="28"/>
      <c r="AD47" s="28"/>
      <c r="AE47" s="28"/>
    </row>
    <row r="48" spans="1:32" s="11" customFormat="1" ht="13.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>
        <f>-K$20</f>
        <v>-507.21629999999999</v>
      </c>
      <c r="L48" s="34">
        <f t="shared" si="36"/>
        <v>1.6582212014574305</v>
      </c>
      <c r="M48" s="34">
        <f t="shared" si="37"/>
        <v>5.4832619192515626</v>
      </c>
      <c r="N48" s="34">
        <f t="shared" si="38"/>
        <v>6.4082066534855704</v>
      </c>
      <c r="O48" s="34">
        <f t="shared" si="39"/>
        <v>4.5629189538175687</v>
      </c>
      <c r="P48" s="34">
        <f t="shared" si="40"/>
        <v>-7.9019765902419774</v>
      </c>
      <c r="Q48" s="34">
        <f t="shared" si="41"/>
        <v>9.4947188645311513</v>
      </c>
      <c r="R48" s="34">
        <f t="shared" si="42"/>
        <v>19.008816120015105</v>
      </c>
      <c r="S48" s="34">
        <f t="shared" si="43"/>
        <v>19.591510596639573</v>
      </c>
      <c r="T48" s="34">
        <f t="shared" si="44"/>
        <v>17.534190554369012</v>
      </c>
      <c r="U48" s="34">
        <f t="shared" si="45"/>
        <v>-0.63738348709266823</v>
      </c>
      <c r="V48" s="34">
        <f t="shared" si="46"/>
        <v>4.6615319698225246</v>
      </c>
      <c r="W48" s="34">
        <f t="shared" si="47"/>
        <v>8.1897032920630171</v>
      </c>
      <c r="X48" s="34">
        <f t="shared" si="48"/>
        <v>229.06532277503945</v>
      </c>
      <c r="Y48" s="34">
        <f t="shared" si="34"/>
        <v>7.9927223000000005</v>
      </c>
      <c r="Z48" s="34">
        <f t="shared" si="34"/>
        <v>8.9375491</v>
      </c>
      <c r="AA48" s="53">
        <f t="shared" si="32"/>
        <v>-3.9609522258492791E-2</v>
      </c>
      <c r="AB48" s="28"/>
      <c r="AC48" s="28"/>
      <c r="AD48" s="28"/>
      <c r="AE48" s="28"/>
    </row>
    <row r="49" spans="1:31" s="11" customFormat="1" ht="13.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>
        <f>-L$20</f>
        <v>-475.00310000000002</v>
      </c>
      <c r="M49" s="34">
        <f t="shared" si="37"/>
        <v>5.4832619192515626</v>
      </c>
      <c r="N49" s="34">
        <f t="shared" si="38"/>
        <v>6.4082066534855704</v>
      </c>
      <c r="O49" s="34">
        <f t="shared" si="39"/>
        <v>4.5629189538175687</v>
      </c>
      <c r="P49" s="34">
        <f t="shared" si="40"/>
        <v>-7.9019765902419774</v>
      </c>
      <c r="Q49" s="34">
        <f t="shared" si="41"/>
        <v>9.4947188645311513</v>
      </c>
      <c r="R49" s="34">
        <f t="shared" si="42"/>
        <v>19.008816120015105</v>
      </c>
      <c r="S49" s="34">
        <f t="shared" si="43"/>
        <v>19.591510596639573</v>
      </c>
      <c r="T49" s="34">
        <f t="shared" si="44"/>
        <v>17.534190554369012</v>
      </c>
      <c r="U49" s="34">
        <f t="shared" si="45"/>
        <v>-0.63738348709266823</v>
      </c>
      <c r="V49" s="34">
        <f t="shared" si="46"/>
        <v>4.6615319698225246</v>
      </c>
      <c r="W49" s="34">
        <f t="shared" si="47"/>
        <v>8.1897032920630171</v>
      </c>
      <c r="X49" s="34">
        <f t="shared" si="48"/>
        <v>229.06532277503945</v>
      </c>
      <c r="Y49" s="34">
        <f t="shared" si="34"/>
        <v>7.9927223000000005</v>
      </c>
      <c r="Z49" s="34">
        <f t="shared" si="34"/>
        <v>8.9375491</v>
      </c>
      <c r="AA49" s="53">
        <f t="shared" si="32"/>
        <v>-3.766890647599308E-2</v>
      </c>
      <c r="AB49" s="28"/>
      <c r="AC49" s="28"/>
      <c r="AD49" s="28"/>
      <c r="AE49" s="28"/>
    </row>
    <row r="50" spans="1:31" s="11" customFormat="1" ht="13.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>
        <f>-M$20</f>
        <v>-397.88920000000002</v>
      </c>
      <c r="N50" s="34">
        <f t="shared" si="38"/>
        <v>6.4082066534855704</v>
      </c>
      <c r="O50" s="34">
        <f t="shared" si="39"/>
        <v>4.5629189538175687</v>
      </c>
      <c r="P50" s="34">
        <f t="shared" si="40"/>
        <v>-7.9019765902419774</v>
      </c>
      <c r="Q50" s="34">
        <f t="shared" si="41"/>
        <v>9.4947188645311513</v>
      </c>
      <c r="R50" s="34">
        <f t="shared" si="42"/>
        <v>19.008816120015105</v>
      </c>
      <c r="S50" s="34">
        <f t="shared" si="43"/>
        <v>19.591510596639573</v>
      </c>
      <c r="T50" s="34">
        <f t="shared" si="44"/>
        <v>17.534190554369012</v>
      </c>
      <c r="U50" s="34">
        <f t="shared" si="45"/>
        <v>-0.63738348709266823</v>
      </c>
      <c r="V50" s="34">
        <f t="shared" si="46"/>
        <v>4.6615319698225246</v>
      </c>
      <c r="W50" s="34">
        <f t="shared" si="47"/>
        <v>8.1897032920630171</v>
      </c>
      <c r="X50" s="34">
        <f t="shared" si="48"/>
        <v>229.06532277503945</v>
      </c>
      <c r="Y50" s="34">
        <f t="shared" si="34"/>
        <v>7.9927223000000005</v>
      </c>
      <c r="Z50" s="34">
        <f t="shared" si="34"/>
        <v>8.9375491</v>
      </c>
      <c r="AA50" s="53">
        <f t="shared" si="32"/>
        <v>-2.5242150467799651E-2</v>
      </c>
      <c r="AB50" s="28"/>
      <c r="AC50" s="28"/>
      <c r="AD50" s="28"/>
      <c r="AE50" s="28"/>
    </row>
    <row r="51" spans="1:31" s="11" customFormat="1" ht="13.5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>
        <f>-N$20</f>
        <v>-242.26949999999999</v>
      </c>
      <c r="O51" s="34">
        <f t="shared" si="39"/>
        <v>4.5629189538175687</v>
      </c>
      <c r="P51" s="34">
        <f t="shared" si="40"/>
        <v>-7.9019765902419774</v>
      </c>
      <c r="Q51" s="34">
        <f t="shared" si="41"/>
        <v>9.4947188645311513</v>
      </c>
      <c r="R51" s="34">
        <f t="shared" si="42"/>
        <v>19.008816120015105</v>
      </c>
      <c r="S51" s="34">
        <f t="shared" si="43"/>
        <v>19.591510596639573</v>
      </c>
      <c r="T51" s="34">
        <f t="shared" si="44"/>
        <v>17.534190554369012</v>
      </c>
      <c r="U51" s="34">
        <f t="shared" si="45"/>
        <v>-0.63738348709266823</v>
      </c>
      <c r="V51" s="34">
        <f t="shared" si="46"/>
        <v>4.6615319698225246</v>
      </c>
      <c r="W51" s="34">
        <f t="shared" si="47"/>
        <v>8.1897032920630171</v>
      </c>
      <c r="X51" s="34">
        <f t="shared" si="48"/>
        <v>229.06532277503945</v>
      </c>
      <c r="Y51" s="34">
        <f t="shared" si="34"/>
        <v>7.9927223000000005</v>
      </c>
      <c r="Z51" s="34">
        <f t="shared" si="34"/>
        <v>8.9375491</v>
      </c>
      <c r="AA51" s="52">
        <f t="shared" si="32"/>
        <v>2.5928633901784348E-2</v>
      </c>
      <c r="AB51" s="28"/>
      <c r="AC51" s="28"/>
      <c r="AD51" s="28"/>
      <c r="AE51" s="28"/>
    </row>
    <row r="52" spans="1:31" s="11" customFormat="1" ht="13.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>
        <f>-O$20</f>
        <v>-311.75529999999998</v>
      </c>
      <c r="P52" s="34">
        <f t="shared" si="40"/>
        <v>-7.9019765902419774</v>
      </c>
      <c r="Q52" s="34">
        <f t="shared" si="41"/>
        <v>9.4947188645311513</v>
      </c>
      <c r="R52" s="34">
        <f t="shared" si="42"/>
        <v>19.008816120015105</v>
      </c>
      <c r="S52" s="34">
        <f t="shared" si="43"/>
        <v>19.591510596639573</v>
      </c>
      <c r="T52" s="34">
        <f t="shared" si="44"/>
        <v>17.534190554369012</v>
      </c>
      <c r="U52" s="34">
        <f t="shared" si="45"/>
        <v>-0.63738348709266823</v>
      </c>
      <c r="V52" s="34">
        <f t="shared" si="46"/>
        <v>4.6615319698225246</v>
      </c>
      <c r="W52" s="34">
        <f t="shared" si="47"/>
        <v>8.1897032920630171</v>
      </c>
      <c r="X52" s="34">
        <f t="shared" si="48"/>
        <v>229.06532277503945</v>
      </c>
      <c r="Y52" s="34">
        <f t="shared" si="34"/>
        <v>7.9927223000000005</v>
      </c>
      <c r="Z52" s="34">
        <f t="shared" si="34"/>
        <v>8.9375491</v>
      </c>
      <c r="AA52" s="53">
        <f t="shared" si="32"/>
        <v>-5.2035281278824952E-3</v>
      </c>
      <c r="AB52" s="28"/>
      <c r="AC52" s="28"/>
      <c r="AD52" s="28"/>
      <c r="AE52" s="28"/>
    </row>
    <row r="53" spans="1:31" s="11" customFormat="1" ht="13.5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>
        <f>-P$20</f>
        <v>-385.88279999999997</v>
      </c>
      <c r="Q53" s="34">
        <f t="shared" si="41"/>
        <v>9.4947188645311513</v>
      </c>
      <c r="R53" s="34">
        <f t="shared" si="42"/>
        <v>19.008816120015105</v>
      </c>
      <c r="S53" s="34">
        <f t="shared" si="43"/>
        <v>19.591510596639573</v>
      </c>
      <c r="T53" s="34">
        <f t="shared" si="44"/>
        <v>17.534190554369012</v>
      </c>
      <c r="U53" s="34">
        <f t="shared" si="45"/>
        <v>-0.63738348709266823</v>
      </c>
      <c r="V53" s="34">
        <f t="shared" si="46"/>
        <v>4.6615319698225246</v>
      </c>
      <c r="W53" s="34">
        <f t="shared" si="47"/>
        <v>8.1897032920630171</v>
      </c>
      <c r="X53" s="34">
        <f t="shared" si="48"/>
        <v>229.06532277503945</v>
      </c>
      <c r="Y53" s="34">
        <f t="shared" si="34"/>
        <v>7.9927223000000005</v>
      </c>
      <c r="Z53" s="34">
        <f t="shared" si="34"/>
        <v>8.9375491</v>
      </c>
      <c r="AA53" s="53">
        <f t="shared" si="32"/>
        <v>-3.2679052362689864E-2</v>
      </c>
      <c r="AB53" s="28"/>
      <c r="AC53" s="28"/>
      <c r="AD53" s="28"/>
      <c r="AE53" s="28"/>
    </row>
    <row r="54" spans="1:31" s="11" customFormat="1" ht="13.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>
        <f>-Q$20</f>
        <v>-370.34370000000001</v>
      </c>
      <c r="R54" s="34">
        <f t="shared" si="42"/>
        <v>19.008816120015105</v>
      </c>
      <c r="S54" s="34">
        <f t="shared" si="43"/>
        <v>19.591510596639573</v>
      </c>
      <c r="T54" s="34">
        <f t="shared" si="44"/>
        <v>17.534190554369012</v>
      </c>
      <c r="U54" s="34">
        <f t="shared" si="45"/>
        <v>-0.63738348709266823</v>
      </c>
      <c r="V54" s="34">
        <f t="shared" si="46"/>
        <v>4.6615319698225246</v>
      </c>
      <c r="W54" s="34">
        <f>W53</f>
        <v>8.1897032920630171</v>
      </c>
      <c r="X54" s="34">
        <f t="shared" si="48"/>
        <v>229.06532277503945</v>
      </c>
      <c r="Y54" s="34">
        <f t="shared" si="34"/>
        <v>7.9927223000000005</v>
      </c>
      <c r="Z54" s="34">
        <f t="shared" si="34"/>
        <v>8.9375491</v>
      </c>
      <c r="AA54" s="53">
        <f t="shared" si="32"/>
        <v>-3.5498412297716775E-2</v>
      </c>
      <c r="AB54" s="28"/>
      <c r="AC54" s="28"/>
      <c r="AD54" s="28"/>
      <c r="AE54" s="28"/>
    </row>
    <row r="55" spans="1:31" s="11" customFormat="1" ht="13.5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>
        <f>-R$20</f>
        <v>-383.5643</v>
      </c>
      <c r="S55" s="34">
        <f t="shared" si="43"/>
        <v>19.591510596639573</v>
      </c>
      <c r="T55" s="34">
        <f t="shared" si="44"/>
        <v>17.534190554369012</v>
      </c>
      <c r="U55" s="34">
        <f t="shared" si="45"/>
        <v>-0.63738348709266823</v>
      </c>
      <c r="V55" s="34">
        <f t="shared" si="46"/>
        <v>4.6615319698225246</v>
      </c>
      <c r="W55" s="34">
        <f t="shared" si="47"/>
        <v>8.1897032920630171</v>
      </c>
      <c r="X55" s="34">
        <f t="shared" si="48"/>
        <v>229.06532277503945</v>
      </c>
      <c r="Y55" s="34">
        <f t="shared" si="34"/>
        <v>7.9927223000000005</v>
      </c>
      <c r="Z55" s="34">
        <f t="shared" si="34"/>
        <v>8.9375491</v>
      </c>
      <c r="AA55" s="53">
        <f t="shared" si="32"/>
        <v>-5.7539873330241575E-2</v>
      </c>
      <c r="AB55" s="28"/>
      <c r="AC55" s="28"/>
      <c r="AD55" s="28"/>
      <c r="AE55" s="28"/>
    </row>
    <row r="56" spans="1:31" s="11" customFormat="1" ht="13.5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>
        <f>-S$20</f>
        <v>-374.63690000000003</v>
      </c>
      <c r="T56" s="34">
        <f t="shared" si="44"/>
        <v>17.534190554369012</v>
      </c>
      <c r="U56" s="34">
        <f t="shared" si="45"/>
        <v>-0.63738348709266823</v>
      </c>
      <c r="V56" s="34">
        <f t="shared" si="46"/>
        <v>4.6615319698225246</v>
      </c>
      <c r="W56" s="34">
        <f t="shared" si="47"/>
        <v>8.1897032920630171</v>
      </c>
      <c r="X56" s="34">
        <f t="shared" si="48"/>
        <v>229.06532277503945</v>
      </c>
      <c r="Y56" s="34">
        <f t="shared" si="34"/>
        <v>7.9927223000000005</v>
      </c>
      <c r="Z56" s="34">
        <f t="shared" si="34"/>
        <v>8.9375491</v>
      </c>
      <c r="AA56" s="53">
        <f t="shared" si="32"/>
        <v>-7.5567906705505727E-2</v>
      </c>
      <c r="AB56" s="28"/>
      <c r="AC56" s="28"/>
      <c r="AD56" s="28"/>
      <c r="AE56" s="28"/>
    </row>
    <row r="57" spans="1:31" s="11" customFormat="1" ht="13.5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>
        <f>-T$20</f>
        <v>-161.27830000000003</v>
      </c>
      <c r="U57" s="34">
        <f t="shared" si="45"/>
        <v>-0.63738348709266823</v>
      </c>
      <c r="V57" s="34">
        <f t="shared" si="46"/>
        <v>4.6615319698225246</v>
      </c>
      <c r="W57" s="34">
        <f t="shared" si="47"/>
        <v>8.1897032920630171</v>
      </c>
      <c r="X57" s="34">
        <f t="shared" si="48"/>
        <v>229.06532277503945</v>
      </c>
      <c r="Y57" s="34">
        <f t="shared" si="34"/>
        <v>7.9927223000000005</v>
      </c>
      <c r="Z57" s="34">
        <f t="shared" si="34"/>
        <v>8.9375491</v>
      </c>
      <c r="AA57" s="52">
        <f t="shared" si="32"/>
        <v>0.10791092166896887</v>
      </c>
      <c r="AB57" s="28"/>
      <c r="AC57" s="28"/>
      <c r="AD57" s="28"/>
      <c r="AE57" s="28"/>
    </row>
    <row r="58" spans="1:31" s="11" customFormat="1" ht="13.5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>
        <f>-U$20</f>
        <v>-161.09649999999999</v>
      </c>
      <c r="V58" s="34">
        <f t="shared" si="46"/>
        <v>4.6615319698225246</v>
      </c>
      <c r="W58" s="34">
        <f t="shared" si="47"/>
        <v>8.1897032920630171</v>
      </c>
      <c r="X58" s="34">
        <f t="shared" si="48"/>
        <v>229.06532277503945</v>
      </c>
      <c r="Y58" s="34">
        <f>Y57</f>
        <v>7.9927223000000005</v>
      </c>
      <c r="Z58" s="34">
        <v>8.9</v>
      </c>
      <c r="AA58" s="52">
        <f t="shared" si="32"/>
        <v>0.14942043816496153</v>
      </c>
      <c r="AB58" s="28"/>
      <c r="AC58" s="28"/>
      <c r="AD58" s="28"/>
      <c r="AE58" s="28"/>
    </row>
    <row r="59" spans="1:31" s="11" customFormat="1" ht="13.5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>
        <f>-V$20</f>
        <v>-194.87470000000002</v>
      </c>
      <c r="W59" s="34">
        <f t="shared" si="47"/>
        <v>8.1897032920630171</v>
      </c>
      <c r="X59" s="34">
        <f t="shared" si="48"/>
        <v>229.06532277503945</v>
      </c>
      <c r="Y59" s="34">
        <v>8</v>
      </c>
      <c r="Z59" s="34">
        <v>8.9</v>
      </c>
      <c r="AA59" s="52">
        <f t="shared" si="32"/>
        <v>0.10539772811153902</v>
      </c>
      <c r="AB59" s="28"/>
      <c r="AC59" s="28"/>
      <c r="AD59" s="28"/>
      <c r="AE59" s="28"/>
    </row>
    <row r="60" spans="1:31" s="11" customFormat="1" ht="13.5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>
        <f>-W$20</f>
        <v>-189.08199999999999</v>
      </c>
      <c r="X60" s="34">
        <f t="shared" si="48"/>
        <v>229.06532277503945</v>
      </c>
      <c r="Y60" s="34">
        <v>8</v>
      </c>
      <c r="Z60" s="34">
        <v>8.9</v>
      </c>
      <c r="AA60" s="52">
        <f t="shared" si="32"/>
        <v>0.21146022770564854</v>
      </c>
      <c r="AB60" s="28"/>
      <c r="AC60" s="28"/>
      <c r="AD60" s="28"/>
      <c r="AE60" s="28"/>
    </row>
    <row r="61" spans="1:31" s="11" customFormat="1" ht="13.5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>
        <v>8.9</v>
      </c>
      <c r="AA61" s="51"/>
      <c r="AB61" s="28"/>
      <c r="AC61" s="28"/>
      <c r="AD61" s="28"/>
      <c r="AE61" s="28"/>
    </row>
    <row r="62" spans="1:31" s="11" customFormat="1" ht="13.5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5"/>
      <c r="AB62" s="28"/>
      <c r="AC62" s="28"/>
      <c r="AD62" s="28"/>
      <c r="AE62" s="28"/>
    </row>
    <row r="63" spans="1:31">
      <c r="B63" s="2">
        <v>1990</v>
      </c>
      <c r="C63" s="2">
        <v>1991</v>
      </c>
      <c r="D63" s="2">
        <v>1992</v>
      </c>
      <c r="E63" s="2">
        <v>1993</v>
      </c>
      <c r="F63" s="2">
        <v>1994</v>
      </c>
      <c r="G63" s="2">
        <v>1995</v>
      </c>
      <c r="H63" s="2">
        <v>1996</v>
      </c>
      <c r="I63" s="2">
        <v>1997</v>
      </c>
      <c r="J63" s="2">
        <v>1998</v>
      </c>
      <c r="K63" s="2">
        <v>1999</v>
      </c>
      <c r="L63" s="2">
        <v>2000</v>
      </c>
      <c r="M63" s="3" t="s">
        <v>1</v>
      </c>
      <c r="N63" s="3" t="s">
        <v>2</v>
      </c>
      <c r="O63" s="3" t="s">
        <v>4</v>
      </c>
      <c r="P63" s="3" t="s">
        <v>5</v>
      </c>
      <c r="Q63" s="3">
        <v>2005</v>
      </c>
      <c r="R63" s="3">
        <v>2006</v>
      </c>
      <c r="S63" s="3">
        <v>2007</v>
      </c>
      <c r="T63" s="3">
        <v>2008</v>
      </c>
      <c r="U63" s="3">
        <v>2009</v>
      </c>
      <c r="V63" s="3">
        <v>2010</v>
      </c>
      <c r="W63" s="3">
        <v>2011</v>
      </c>
      <c r="X63" s="3">
        <v>2012</v>
      </c>
      <c r="Y63" s="3">
        <v>2013</v>
      </c>
      <c r="Z63" s="3">
        <v>2014</v>
      </c>
      <c r="AA63"/>
      <c r="AD63" s="4"/>
      <c r="AE63" s="4"/>
    </row>
    <row r="64" spans="1:31" s="11" customFormat="1" ht="13.5">
      <c r="A64" s="13" t="s">
        <v>16</v>
      </c>
      <c r="B64" s="10">
        <f>B6</f>
        <v>620.16999999999996</v>
      </c>
      <c r="C64" s="10">
        <f t="shared" ref="B64:Z64" si="50">C6</f>
        <v>851.94</v>
      </c>
      <c r="D64" s="10">
        <f t="shared" si="50"/>
        <v>980.55000000000007</v>
      </c>
      <c r="E64" s="10">
        <f t="shared" si="50"/>
        <v>1235.95</v>
      </c>
      <c r="F64" s="10">
        <f t="shared" si="50"/>
        <v>1238.51</v>
      </c>
      <c r="G64" s="10">
        <f t="shared" si="50"/>
        <v>1797.46</v>
      </c>
      <c r="H64" s="10">
        <f t="shared" si="50"/>
        <v>2521.48</v>
      </c>
      <c r="I64" s="10">
        <f t="shared" si="50"/>
        <v>3806.12</v>
      </c>
      <c r="J64" s="10">
        <f t="shared" si="50"/>
        <v>5366.35</v>
      </c>
      <c r="K64" s="10">
        <f t="shared" si="50"/>
        <v>8240.6200000000008</v>
      </c>
      <c r="L64" s="10">
        <f t="shared" si="50"/>
        <v>7746.77</v>
      </c>
      <c r="M64" s="10">
        <f t="shared" si="50"/>
        <v>6579.63</v>
      </c>
      <c r="N64" s="10">
        <f t="shared" si="50"/>
        <v>4098.6499999999996</v>
      </c>
      <c r="O64" s="10">
        <f t="shared" si="50"/>
        <v>5358.92</v>
      </c>
      <c r="P64" s="10">
        <f t="shared" si="50"/>
        <v>6467.25</v>
      </c>
      <c r="Q64" s="10">
        <f t="shared" si="50"/>
        <v>6374.6500000000005</v>
      </c>
      <c r="R64" s="10">
        <f t="shared" si="50"/>
        <v>6970.81</v>
      </c>
      <c r="S64" s="10">
        <f t="shared" si="50"/>
        <v>7158.14</v>
      </c>
      <c r="T64" s="10">
        <f t="shared" si="50"/>
        <v>3294.14</v>
      </c>
      <c r="U64" s="10">
        <f t="shared" si="50"/>
        <v>3237.94</v>
      </c>
      <c r="V64" s="10">
        <f t="shared" si="50"/>
        <v>4023.8</v>
      </c>
      <c r="W64" s="10">
        <f t="shared" si="50"/>
        <v>4074.6</v>
      </c>
      <c r="X64" s="10">
        <f t="shared" si="50"/>
        <v>4940.3</v>
      </c>
      <c r="Y64" s="10">
        <f t="shared" si="50"/>
        <v>6812.03</v>
      </c>
      <c r="Z64" s="10">
        <f t="shared" si="50"/>
        <v>6355.71</v>
      </c>
      <c r="AA64" s="110"/>
      <c r="AB64" s="28"/>
      <c r="AC64" s="28"/>
      <c r="AD64" s="28"/>
      <c r="AE64" s="28"/>
    </row>
    <row r="65" spans="1:31" s="24" customFormat="1" ht="13.5">
      <c r="A65" s="9" t="s">
        <v>40</v>
      </c>
      <c r="B65" s="23"/>
      <c r="C65" s="37">
        <f>C64/B64-1</f>
        <v>0.37372010900237052</v>
      </c>
      <c r="D65" s="37">
        <f t="shared" ref="D65:X65" si="51">D64/C64-1</f>
        <v>0.1509613353053032</v>
      </c>
      <c r="E65" s="37">
        <f t="shared" si="51"/>
        <v>0.26046606496354086</v>
      </c>
      <c r="F65" s="37">
        <f t="shared" si="51"/>
        <v>2.0712812006957737E-3</v>
      </c>
      <c r="G65" s="37">
        <f t="shared" si="51"/>
        <v>0.45130842706154972</v>
      </c>
      <c r="H65" s="37">
        <f t="shared" si="51"/>
        <v>0.40280173133199071</v>
      </c>
      <c r="I65" s="37">
        <f t="shared" si="51"/>
        <v>0.50947856021066995</v>
      </c>
      <c r="J65" s="37">
        <f t="shared" si="51"/>
        <v>0.40992664445682236</v>
      </c>
      <c r="K65" s="37">
        <f t="shared" si="51"/>
        <v>0.53560986517838005</v>
      </c>
      <c r="L65" s="37">
        <f t="shared" si="51"/>
        <v>-5.9928743225631131E-2</v>
      </c>
      <c r="M65" s="37">
        <f t="shared" si="51"/>
        <v>-0.15066150150320723</v>
      </c>
      <c r="N65" s="37">
        <f t="shared" si="51"/>
        <v>-0.37706983523389614</v>
      </c>
      <c r="O65" s="37">
        <f t="shared" si="51"/>
        <v>0.30748417161748387</v>
      </c>
      <c r="P65" s="37">
        <f t="shared" si="51"/>
        <v>0.20681965769222166</v>
      </c>
      <c r="Q65" s="37">
        <f t="shared" si="51"/>
        <v>-1.4318296029997235E-2</v>
      </c>
      <c r="R65" s="37">
        <f t="shared" si="51"/>
        <v>9.3520428572549053E-2</v>
      </c>
      <c r="S65" s="37">
        <f t="shared" si="51"/>
        <v>2.6873491029019592E-2</v>
      </c>
      <c r="T65" s="37">
        <f t="shared" si="51"/>
        <v>-0.53980503315106998</v>
      </c>
      <c r="U65" s="37">
        <f t="shared" si="51"/>
        <v>-1.7060598517367187E-2</v>
      </c>
      <c r="V65" s="37">
        <f t="shared" si="51"/>
        <v>0.24270369432416916</v>
      </c>
      <c r="W65" s="37">
        <f t="shared" si="51"/>
        <v>1.2624881952383316E-2</v>
      </c>
      <c r="X65" s="37">
        <f t="shared" si="51"/>
        <v>0.21246257301330207</v>
      </c>
      <c r="Y65" s="37">
        <f t="shared" ref="Y65" si="52">Y64/X64-1</f>
        <v>0.37886970426897149</v>
      </c>
      <c r="Z65" s="37">
        <f t="shared" ref="Z65" si="53">Z64/Y64-1</f>
        <v>-6.6987373807807615E-2</v>
      </c>
      <c r="AA65" s="55"/>
      <c r="AB65" s="30"/>
      <c r="AC65" s="30"/>
      <c r="AD65" s="30"/>
      <c r="AE65" s="30"/>
    </row>
    <row r="66" spans="1:31" s="11" customFormat="1" ht="13.5">
      <c r="A66" s="13" t="s">
        <v>22</v>
      </c>
      <c r="B66" s="10"/>
      <c r="C66" s="17">
        <f>C75/B75-1</f>
        <v>0.33333333333333348</v>
      </c>
      <c r="D66" s="17">
        <f t="shared" ref="D66:X66" si="54">D75/C75-1</f>
        <v>0.11764244477911645</v>
      </c>
      <c r="E66" s="17">
        <f t="shared" si="54"/>
        <v>0.22660471906011792</v>
      </c>
      <c r="F66" s="17">
        <f t="shared" si="54"/>
        <v>-2.7418265874786796E-2</v>
      </c>
      <c r="G66" s="17">
        <f t="shared" si="54"/>
        <v>0.41177301126001575</v>
      </c>
      <c r="H66" s="17">
        <f t="shared" si="54"/>
        <v>0.37326232623262312</v>
      </c>
      <c r="I66" s="17">
        <f t="shared" si="54"/>
        <v>0.48419966621150068</v>
      </c>
      <c r="J66" s="17">
        <f t="shared" si="54"/>
        <v>0.39011853990243672</v>
      </c>
      <c r="K66" s="17">
        <f t="shared" si="54"/>
        <v>0.51715759811275253</v>
      </c>
      <c r="L66" s="17">
        <f t="shared" si="54"/>
        <v>-7.0586022777064827E-2</v>
      </c>
      <c r="M66" s="17">
        <f t="shared" si="54"/>
        <v>-0.16391134289439357</v>
      </c>
      <c r="N66" s="17">
        <f t="shared" si="54"/>
        <v>-0.39246506986027951</v>
      </c>
      <c r="O66" s="17">
        <f t="shared" si="54"/>
        <v>0.27227926078028752</v>
      </c>
      <c r="P66" s="17">
        <f t="shared" si="54"/>
        <v>0.17817947062621053</v>
      </c>
      <c r="Q66" s="17">
        <f t="shared" si="54"/>
        <v>-3.9726027397260166E-2</v>
      </c>
      <c r="R66" s="17">
        <f t="shared" si="54"/>
        <v>6.1626248216833046E-2</v>
      </c>
      <c r="S66" s="17">
        <f t="shared" si="54"/>
        <v>-3.7624294544477133E-3</v>
      </c>
      <c r="T66" s="17">
        <f t="shared" si="54"/>
        <v>-0.56298893984353926</v>
      </c>
      <c r="U66" s="17">
        <f t="shared" si="54"/>
        <v>-6.6049382716049321E-2</v>
      </c>
      <c r="V66" s="17">
        <f t="shared" si="54"/>
        <v>0.20885657633840049</v>
      </c>
      <c r="W66" s="17">
        <f t="shared" si="54"/>
        <v>-2.0776380535811878E-2</v>
      </c>
      <c r="X66" s="17">
        <f t="shared" si="54"/>
        <v>0.17197096594081529</v>
      </c>
      <c r="Y66" s="17">
        <f t="shared" ref="Y66" si="55">Y75/X75-1</f>
        <v>0.33539780848022871</v>
      </c>
      <c r="Z66" s="17">
        <f t="shared" ref="Z66" si="56">Z75/Y75-1</f>
        <v>-9.846592936139853E-2</v>
      </c>
      <c r="AA66" s="35"/>
      <c r="AB66" s="28"/>
      <c r="AC66" s="28"/>
      <c r="AD66" s="28"/>
      <c r="AE66" s="28"/>
    </row>
    <row r="67" spans="1:31" s="19" customFormat="1" ht="13.5">
      <c r="A67" s="18" t="s">
        <v>23</v>
      </c>
      <c r="B67" s="20"/>
      <c r="C67" s="21">
        <f>C65-C66</f>
        <v>4.0386775669037034E-2</v>
      </c>
      <c r="D67" s="21">
        <f t="shared" ref="D67:Z67" si="57">D65-D66</f>
        <v>3.3318890526186751E-2</v>
      </c>
      <c r="E67" s="21">
        <f t="shared" si="57"/>
        <v>3.3861345903422935E-2</v>
      </c>
      <c r="F67" s="21">
        <f t="shared" si="57"/>
        <v>2.9489547075482569E-2</v>
      </c>
      <c r="G67" s="21">
        <f t="shared" si="57"/>
        <v>3.9535415801533969E-2</v>
      </c>
      <c r="H67" s="21">
        <f t="shared" si="57"/>
        <v>2.9539405099367588E-2</v>
      </c>
      <c r="I67" s="21">
        <f t="shared" si="57"/>
        <v>2.5278893999169272E-2</v>
      </c>
      <c r="J67" s="21">
        <f t="shared" si="57"/>
        <v>1.9808104554385642E-2</v>
      </c>
      <c r="K67" s="21">
        <f t="shared" si="57"/>
        <v>1.8452267065627526E-2</v>
      </c>
      <c r="L67" s="21">
        <f t="shared" si="57"/>
        <v>1.0657279551433696E-2</v>
      </c>
      <c r="M67" s="21">
        <f t="shared" si="57"/>
        <v>1.3249841391186346E-2</v>
      </c>
      <c r="N67" s="21">
        <f t="shared" si="57"/>
        <v>1.5395234626383369E-2</v>
      </c>
      <c r="O67" s="21">
        <f t="shared" si="57"/>
        <v>3.5204910837196346E-2</v>
      </c>
      <c r="P67" s="21">
        <f t="shared" si="57"/>
        <v>2.8640187066011125E-2</v>
      </c>
      <c r="Q67" s="21">
        <f t="shared" si="57"/>
        <v>2.5407731367262931E-2</v>
      </c>
      <c r="R67" s="21">
        <f t="shared" si="57"/>
        <v>3.1894180355716006E-2</v>
      </c>
      <c r="S67" s="21">
        <f t="shared" si="57"/>
        <v>3.0635920483467305E-2</v>
      </c>
      <c r="T67" s="21">
        <f t="shared" si="57"/>
        <v>2.318390669246928E-2</v>
      </c>
      <c r="U67" s="21">
        <f t="shared" si="57"/>
        <v>4.8988784198682134E-2</v>
      </c>
      <c r="V67" s="21">
        <f t="shared" si="57"/>
        <v>3.3847117985768671E-2</v>
      </c>
      <c r="W67" s="21">
        <f t="shared" si="57"/>
        <v>3.3401262488195194E-2</v>
      </c>
      <c r="X67" s="21">
        <f t="shared" si="57"/>
        <v>4.0491607072486779E-2</v>
      </c>
      <c r="Y67" s="21">
        <f t="shared" si="57"/>
        <v>4.3471895788742776E-2</v>
      </c>
      <c r="Z67" s="21">
        <f t="shared" si="57"/>
        <v>3.1478555553590915E-2</v>
      </c>
      <c r="AA67" s="43"/>
      <c r="AB67" s="29"/>
      <c r="AC67" s="29"/>
      <c r="AD67" s="29"/>
      <c r="AE67" s="29"/>
    </row>
    <row r="68" spans="1:31" s="11" customFormat="1" ht="13.5">
      <c r="A68" s="13" t="s">
        <v>78</v>
      </c>
      <c r="B68" s="17">
        <f>B69/B20</f>
        <v>3.3330102286468849E-2</v>
      </c>
      <c r="C68" s="17">
        <f t="shared" ref="C68:X68" si="58">C69/B20</f>
        <v>3.5356127574442522E-2</v>
      </c>
      <c r="D68" s="17">
        <f t="shared" si="58"/>
        <v>2.9037209109387313E-2</v>
      </c>
      <c r="E68" s="17">
        <f t="shared" si="58"/>
        <v>2.9484971634580817E-2</v>
      </c>
      <c r="F68" s="17">
        <f t="shared" si="58"/>
        <v>2.7523294746315045E-2</v>
      </c>
      <c r="G68" s="17">
        <f t="shared" si="58"/>
        <v>3.1768740087321598E-2</v>
      </c>
      <c r="H68" s="17">
        <f t="shared" si="58"/>
        <v>2.5361758459601629E-2</v>
      </c>
      <c r="I68" s="17">
        <f t="shared" si="58"/>
        <v>2.0953401257326931E-2</v>
      </c>
      <c r="J68" s="17">
        <f t="shared" si="58"/>
        <v>1.6294926085665587E-2</v>
      </c>
      <c r="K68" s="17">
        <f t="shared" si="58"/>
        <v>1.3723798898326305E-2</v>
      </c>
      <c r="L68" s="17">
        <f t="shared" si="58"/>
        <v>1.0648317098642137E-2</v>
      </c>
      <c r="M68" s="17">
        <f t="shared" si="58"/>
        <v>1.3385175802010554E-2</v>
      </c>
      <c r="N68" s="17">
        <f t="shared" si="58"/>
        <v>1.7987419613299381E-2</v>
      </c>
      <c r="O68" s="17">
        <f t="shared" si="58"/>
        <v>3.1547512171362882E-2</v>
      </c>
      <c r="P68" s="17">
        <f t="shared" si="58"/>
        <v>2.6552876566974165E-2</v>
      </c>
      <c r="Q68" s="17">
        <f t="shared" si="58"/>
        <v>2.4235337776133067E-2</v>
      </c>
      <c r="R68" s="17">
        <f t="shared" si="58"/>
        <v>2.8136026075237675E-2</v>
      </c>
      <c r="S68" s="17">
        <f t="shared" si="58"/>
        <v>2.9961078233818945E-2</v>
      </c>
      <c r="T68" s="17">
        <f t="shared" si="58"/>
        <v>3.3120069058867399E-2</v>
      </c>
      <c r="U68" s="17">
        <f t="shared" si="58"/>
        <v>5.5717353171505397E-2</v>
      </c>
      <c r="V68" s="17">
        <f t="shared" si="58"/>
        <v>2.9733731024572229E-2</v>
      </c>
      <c r="W68" s="17">
        <f t="shared" si="58"/>
        <v>3.3139242805761852E-2</v>
      </c>
      <c r="X68" s="17">
        <f t="shared" si="58"/>
        <v>3.8821305042256803E-2</v>
      </c>
      <c r="Y68" s="17">
        <f t="shared" ref="Y68" si="59">Y69/X20</f>
        <v>3.6312861641963554E-2</v>
      </c>
      <c r="Z68" s="17">
        <f t="shared" ref="Z68" si="60">Z69/Y20</f>
        <v>3.1515763613500912E-2</v>
      </c>
      <c r="AA68" s="17"/>
      <c r="AB68" s="28"/>
      <c r="AC68" s="28"/>
      <c r="AD68" s="28"/>
      <c r="AE68" s="28"/>
    </row>
    <row r="69" spans="1:31" s="11" customFormat="1" ht="13.5">
      <c r="A69" s="9" t="s">
        <v>17</v>
      </c>
      <c r="B69" s="22">
        <f t="shared" ref="B69:Z69" si="61">B22</f>
        <v>1.6779999999999999</v>
      </c>
      <c r="C69" s="22">
        <f t="shared" si="61"/>
        <v>1.78</v>
      </c>
      <c r="D69" s="22">
        <f t="shared" si="61"/>
        <v>1.925</v>
      </c>
      <c r="E69" s="22">
        <f t="shared" si="61"/>
        <v>2.153</v>
      </c>
      <c r="F69" s="22">
        <f t="shared" si="61"/>
        <v>2.4620000000000002</v>
      </c>
      <c r="G69" s="22">
        <f t="shared" si="61"/>
        <v>2.77</v>
      </c>
      <c r="H69" s="22">
        <f t="shared" si="61"/>
        <v>3.05</v>
      </c>
      <c r="I69" s="22">
        <f t="shared" si="61"/>
        <v>3.411</v>
      </c>
      <c r="J69" s="22">
        <f t="shared" si="61"/>
        <v>3.9129999999999998</v>
      </c>
      <c r="K69" s="22">
        <f t="shared" si="61"/>
        <v>4.5869999999999997</v>
      </c>
      <c r="L69" s="22">
        <f t="shared" si="61"/>
        <v>5.4009999999999998</v>
      </c>
      <c r="M69" s="22">
        <f t="shared" si="61"/>
        <v>6.3579999999999997</v>
      </c>
      <c r="N69" s="22">
        <f t="shared" si="61"/>
        <v>7.157</v>
      </c>
      <c r="O69" s="22">
        <f t="shared" si="61"/>
        <v>7.6429999999999998</v>
      </c>
      <c r="P69" s="22">
        <f t="shared" si="61"/>
        <v>8.2780000000000005</v>
      </c>
      <c r="Q69" s="22">
        <f t="shared" si="61"/>
        <v>9.3520000000000003</v>
      </c>
      <c r="R69" s="22">
        <f t="shared" si="61"/>
        <v>10.42</v>
      </c>
      <c r="S69" s="22">
        <f t="shared" si="61"/>
        <v>11.492000000000001</v>
      </c>
      <c r="T69" s="22">
        <f t="shared" si="61"/>
        <v>12.407999999999999</v>
      </c>
      <c r="U69" s="22">
        <f t="shared" si="61"/>
        <v>8.9860000000000007</v>
      </c>
      <c r="V69" s="22">
        <f t="shared" si="61"/>
        <v>4.79</v>
      </c>
      <c r="W69" s="22">
        <f t="shared" si="61"/>
        <v>6.4580000000000002</v>
      </c>
      <c r="X69" s="22">
        <f t="shared" si="61"/>
        <v>7.3404100000000003</v>
      </c>
      <c r="Y69" s="22">
        <f t="shared" si="61"/>
        <v>7.9927223000000005</v>
      </c>
      <c r="Z69" s="22">
        <f t="shared" si="61"/>
        <v>8.9375491</v>
      </c>
      <c r="AA69" s="35"/>
      <c r="AB69" s="28"/>
      <c r="AC69" s="28"/>
      <c r="AD69" s="28"/>
      <c r="AE69" s="28"/>
    </row>
    <row r="70" spans="1:31" s="11" customFormat="1" ht="13.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35"/>
      <c r="AB70" s="28"/>
      <c r="AC70" s="28"/>
      <c r="AD70" s="28"/>
      <c r="AE70" s="28"/>
    </row>
    <row r="71" spans="1:31" s="11" customFormat="1" ht="13.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35"/>
      <c r="AB71" s="28"/>
      <c r="AC71" s="28"/>
      <c r="AD71" s="28"/>
      <c r="AE71" s="28"/>
    </row>
    <row r="72" spans="1:31" s="11" customFormat="1" ht="14.25" thickBot="1">
      <c r="A72" s="13" t="s">
        <v>27</v>
      </c>
      <c r="B72" s="10">
        <f t="shared" ref="B72:Z72" si="62">B10/1000</f>
        <v>877.471</v>
      </c>
      <c r="C72" s="10">
        <f t="shared" si="62"/>
        <v>866.59199999999998</v>
      </c>
      <c r="D72" s="10">
        <f t="shared" si="62"/>
        <v>854.03899999999999</v>
      </c>
      <c r="E72" s="10">
        <f t="shared" si="62"/>
        <v>852.93499999999995</v>
      </c>
      <c r="F72" s="10">
        <f t="shared" si="62"/>
        <v>1709.66</v>
      </c>
      <c r="G72" s="10">
        <f t="shared" si="62"/>
        <v>1670.2739999999999</v>
      </c>
      <c r="H72" s="10">
        <f t="shared" si="62"/>
        <v>1646.42</v>
      </c>
      <c r="I72" s="10">
        <f t="shared" si="62"/>
        <v>3272.7240000000002</v>
      </c>
      <c r="J72" s="10">
        <f t="shared" si="62"/>
        <v>3276.8330000000001</v>
      </c>
      <c r="K72" s="10">
        <f t="shared" si="62"/>
        <v>3277.6489999999999</v>
      </c>
      <c r="L72" s="10">
        <f t="shared" si="62"/>
        <v>9908.7999999999993</v>
      </c>
      <c r="M72" s="10">
        <f t="shared" si="62"/>
        <v>9927.3799999999992</v>
      </c>
      <c r="N72" s="10">
        <f t="shared" si="62"/>
        <v>9949.4699999999993</v>
      </c>
      <c r="O72" s="10">
        <f t="shared" si="62"/>
        <v>10063.120000000001</v>
      </c>
      <c r="P72" s="10">
        <f t="shared" si="62"/>
        <v>10572.13</v>
      </c>
      <c r="Q72" s="10">
        <f t="shared" si="62"/>
        <v>10566.16</v>
      </c>
      <c r="R72" s="10">
        <f t="shared" si="62"/>
        <v>10308.1</v>
      </c>
      <c r="S72" s="10">
        <f t="shared" si="62"/>
        <v>10106.209999999999</v>
      </c>
      <c r="T72" s="10">
        <f t="shared" si="62"/>
        <v>9955.4560000000001</v>
      </c>
      <c r="U72" s="10">
        <f t="shared" si="62"/>
        <v>10647.49</v>
      </c>
      <c r="V72" s="10">
        <f t="shared" si="62"/>
        <v>10654.72</v>
      </c>
      <c r="W72" s="10">
        <f t="shared" si="62"/>
        <v>10557.35</v>
      </c>
      <c r="X72" s="10">
        <f t="shared" si="62"/>
        <v>10486.3</v>
      </c>
      <c r="Y72" s="10">
        <f t="shared" si="62"/>
        <v>10117.370000000001</v>
      </c>
      <c r="Z72" s="10">
        <f t="shared" si="62"/>
        <v>10042.19</v>
      </c>
      <c r="AA72" s="35"/>
      <c r="AB72" s="28"/>
      <c r="AC72" s="28"/>
      <c r="AD72" s="28"/>
      <c r="AE72" s="28"/>
    </row>
    <row r="73" spans="1:31" s="24" customFormat="1" ht="14.25" thickBot="1">
      <c r="A73" s="9" t="s">
        <v>26</v>
      </c>
      <c r="B73" s="23"/>
      <c r="C73" s="23">
        <f>C72-B72</f>
        <v>-10.879000000000019</v>
      </c>
      <c r="D73" s="23">
        <f t="shared" ref="D73:X73" si="63">D72-C72</f>
        <v>-12.552999999999997</v>
      </c>
      <c r="E73" s="25">
        <f t="shared" si="63"/>
        <v>-1.1040000000000418</v>
      </c>
      <c r="F73" s="27">
        <f t="shared" si="63"/>
        <v>856.72500000000014</v>
      </c>
      <c r="G73" s="26">
        <f t="shared" si="63"/>
        <v>-39.386000000000195</v>
      </c>
      <c r="H73" s="25">
        <f t="shared" si="63"/>
        <v>-23.853999999999814</v>
      </c>
      <c r="I73" s="27">
        <f t="shared" si="63"/>
        <v>1626.3040000000001</v>
      </c>
      <c r="J73" s="26">
        <f t="shared" si="63"/>
        <v>4.1089999999999236</v>
      </c>
      <c r="K73" s="25">
        <f t="shared" si="63"/>
        <v>0.81599999999980355</v>
      </c>
      <c r="L73" s="27">
        <f t="shared" si="63"/>
        <v>6631.1509999999998</v>
      </c>
      <c r="M73" s="26">
        <f t="shared" si="63"/>
        <v>18.579999999999927</v>
      </c>
      <c r="N73" s="23">
        <f t="shared" si="63"/>
        <v>22.090000000000146</v>
      </c>
      <c r="O73" s="23">
        <f t="shared" si="63"/>
        <v>113.65000000000146</v>
      </c>
      <c r="P73" s="23">
        <f t="shared" si="63"/>
        <v>509.0099999999984</v>
      </c>
      <c r="Q73" s="23">
        <f t="shared" si="63"/>
        <v>-5.9699999999993452</v>
      </c>
      <c r="R73" s="23">
        <f t="shared" si="63"/>
        <v>-258.05999999999949</v>
      </c>
      <c r="S73" s="23">
        <f t="shared" si="63"/>
        <v>-201.89000000000124</v>
      </c>
      <c r="T73" s="23">
        <f t="shared" si="63"/>
        <v>-150.753999999999</v>
      </c>
      <c r="U73" s="23">
        <f t="shared" si="63"/>
        <v>692.03399999999965</v>
      </c>
      <c r="V73" s="23">
        <f t="shared" si="63"/>
        <v>7.2299999999995634</v>
      </c>
      <c r="W73" s="23">
        <f t="shared" si="63"/>
        <v>-97.369999999998981</v>
      </c>
      <c r="X73" s="23">
        <f t="shared" si="63"/>
        <v>-71.050000000001091</v>
      </c>
      <c r="Y73" s="26">
        <f t="shared" ref="Y73" si="64">Y72-X72</f>
        <v>-368.92999999999847</v>
      </c>
      <c r="Z73" s="25">
        <f t="shared" ref="Z73" si="65">Z72-Y72</f>
        <v>-75.180000000000291</v>
      </c>
      <c r="AA73" s="45"/>
      <c r="AB73" s="30"/>
      <c r="AC73" s="30"/>
      <c r="AD73" s="30"/>
      <c r="AE73" s="30"/>
    </row>
    <row r="74" spans="1:31" s="11" customFormat="1" ht="13.5">
      <c r="A74" s="14" t="s">
        <v>25</v>
      </c>
      <c r="B74" s="22">
        <f t="shared" ref="B74:X74" si="66">B20*1000/B72</f>
        <v>57.374978774227301</v>
      </c>
      <c r="C74" s="22">
        <f t="shared" si="66"/>
        <v>76.499956150068314</v>
      </c>
      <c r="D74" s="22">
        <f t="shared" si="66"/>
        <v>85.499901058382576</v>
      </c>
      <c r="E74" s="22">
        <f t="shared" si="66"/>
        <v>104.8749318529548</v>
      </c>
      <c r="F74" s="22">
        <f t="shared" si="66"/>
        <v>50.999982452651402</v>
      </c>
      <c r="G74" s="22">
        <f t="shared" si="66"/>
        <v>72.000043106699863</v>
      </c>
      <c r="H74" s="22">
        <f t="shared" si="66"/>
        <v>98.875013666014752</v>
      </c>
      <c r="I74" s="22">
        <f t="shared" si="66"/>
        <v>73.374992819437267</v>
      </c>
      <c r="J74" s="22">
        <f t="shared" si="66"/>
        <v>101.99997985860128</v>
      </c>
      <c r="K74" s="22">
        <f t="shared" si="66"/>
        <v>154.75003577259187</v>
      </c>
      <c r="L74" s="22">
        <f t="shared" si="66"/>
        <v>47.937500000000007</v>
      </c>
      <c r="M74" s="22">
        <f t="shared" si="66"/>
        <v>40.079980820720074</v>
      </c>
      <c r="N74" s="22">
        <f t="shared" si="66"/>
        <v>24.349990502006641</v>
      </c>
      <c r="O74" s="22">
        <f t="shared" si="66"/>
        <v>30.979984338853154</v>
      </c>
      <c r="P74" s="22">
        <f t="shared" si="66"/>
        <v>36.500005202357521</v>
      </c>
      <c r="Q74" s="22">
        <f t="shared" si="66"/>
        <v>35.049980314513505</v>
      </c>
      <c r="R74" s="22">
        <f t="shared" si="66"/>
        <v>37.209990201880075</v>
      </c>
      <c r="S74" s="22">
        <f t="shared" si="66"/>
        <v>37.069969850220808</v>
      </c>
      <c r="T74" s="22">
        <f t="shared" si="66"/>
        <v>16.199991240983842</v>
      </c>
      <c r="U74" s="22">
        <f t="shared" si="66"/>
        <v>15.129997774123291</v>
      </c>
      <c r="V74" s="22">
        <f t="shared" si="66"/>
        <v>18.289987911460837</v>
      </c>
      <c r="W74" s="22">
        <f t="shared" si="66"/>
        <v>17.909986881177566</v>
      </c>
      <c r="X74" s="22">
        <f t="shared" si="66"/>
        <v>20.989977399082616</v>
      </c>
      <c r="Y74" s="22">
        <f t="shared" ref="Y74:Z74" si="67">Y20*1000/Y72</f>
        <v>28.029991984082816</v>
      </c>
      <c r="Z74" s="22">
        <f t="shared" si="67"/>
        <v>25.270005845338517</v>
      </c>
      <c r="AA74" s="35"/>
      <c r="AB74" s="28"/>
      <c r="AC74" s="28"/>
      <c r="AD74" s="28"/>
      <c r="AE74" s="28"/>
    </row>
    <row r="75" spans="1:31" s="8" customFormat="1" ht="13.5">
      <c r="A75" s="14" t="s">
        <v>24</v>
      </c>
      <c r="B75" s="15">
        <f t="shared" ref="B75:X75" si="68">B11</f>
        <v>4.7808000000000002</v>
      </c>
      <c r="C75" s="15">
        <f t="shared" si="68"/>
        <v>6.3744000000000005</v>
      </c>
      <c r="D75" s="15">
        <f t="shared" si="68"/>
        <v>7.1243000000000007</v>
      </c>
      <c r="E75" s="15">
        <f t="shared" si="68"/>
        <v>8.7386999999999997</v>
      </c>
      <c r="F75" s="15">
        <f t="shared" si="68"/>
        <v>8.4991000000000003</v>
      </c>
      <c r="G75" s="15">
        <f t="shared" si="68"/>
        <v>11.998800000000001</v>
      </c>
      <c r="H75" s="15">
        <f t="shared" si="68"/>
        <v>16.477499999999999</v>
      </c>
      <c r="I75" s="15">
        <f t="shared" si="68"/>
        <v>24.4559</v>
      </c>
      <c r="J75" s="15">
        <f t="shared" si="68"/>
        <v>33.996600000000001</v>
      </c>
      <c r="K75" s="15">
        <f t="shared" si="68"/>
        <v>51.578200000000002</v>
      </c>
      <c r="L75" s="15">
        <f t="shared" si="68"/>
        <v>47.9375</v>
      </c>
      <c r="M75" s="15">
        <f t="shared" si="68"/>
        <v>40.080000000000005</v>
      </c>
      <c r="N75" s="15">
        <f t="shared" si="68"/>
        <v>24.35</v>
      </c>
      <c r="O75" s="15">
        <f t="shared" si="68"/>
        <v>30.98</v>
      </c>
      <c r="P75" s="15">
        <f t="shared" si="68"/>
        <v>36.5</v>
      </c>
      <c r="Q75" s="15">
        <f t="shared" si="68"/>
        <v>35.050000000000004</v>
      </c>
      <c r="R75" s="15">
        <f t="shared" si="68"/>
        <v>37.21</v>
      </c>
      <c r="S75" s="15">
        <f t="shared" si="68"/>
        <v>37.07</v>
      </c>
      <c r="T75" s="15">
        <f t="shared" si="68"/>
        <v>16.2</v>
      </c>
      <c r="U75" s="15">
        <f t="shared" si="68"/>
        <v>15.13</v>
      </c>
      <c r="V75" s="15">
        <f t="shared" si="68"/>
        <v>18.29</v>
      </c>
      <c r="W75" s="15">
        <f t="shared" si="68"/>
        <v>17.91</v>
      </c>
      <c r="X75" s="15">
        <f t="shared" si="68"/>
        <v>20.990000000000002</v>
      </c>
      <c r="Y75" s="15">
        <f t="shared" ref="Y75:Z75" si="69">Y11</f>
        <v>28.03</v>
      </c>
      <c r="Z75" s="15">
        <f t="shared" si="69"/>
        <v>25.27</v>
      </c>
      <c r="AA75" s="111"/>
      <c r="AB75" s="6"/>
      <c r="AC75" s="6"/>
      <c r="AD75" s="6"/>
      <c r="AE75" s="6"/>
    </row>
    <row r="76" spans="1:31" s="8" customFormat="1" ht="13.5">
      <c r="A76" s="14" t="s">
        <v>21</v>
      </c>
      <c r="B76" s="17">
        <f t="shared" ref="B76:X76" si="70">B12/100</f>
        <v>8.073000000000001E-2</v>
      </c>
      <c r="C76" s="17">
        <f t="shared" si="70"/>
        <v>6.6979999999999998E-2</v>
      </c>
      <c r="D76" s="17">
        <f t="shared" si="70"/>
        <v>6.6839999999999997E-2</v>
      </c>
      <c r="E76" s="17">
        <f t="shared" si="70"/>
        <v>5.7950000000000002E-2</v>
      </c>
      <c r="F76" s="17">
        <f t="shared" si="70"/>
        <v>7.8350000000000003E-2</v>
      </c>
      <c r="G76" s="17">
        <f t="shared" si="70"/>
        <v>5.5750000000000001E-2</v>
      </c>
      <c r="H76" s="17">
        <f t="shared" si="70"/>
        <v>6.4170000000000005E-2</v>
      </c>
      <c r="I76" s="17">
        <f t="shared" si="70"/>
        <v>5.7380000000000007E-2</v>
      </c>
      <c r="J76" s="17">
        <f t="shared" si="70"/>
        <v>4.6470000000000004E-2</v>
      </c>
      <c r="K76" s="17">
        <f t="shared" si="70"/>
        <v>6.4340000000000008E-2</v>
      </c>
      <c r="L76" s="17">
        <f t="shared" si="70"/>
        <v>5.1050000000000005E-2</v>
      </c>
      <c r="M76" s="17">
        <f t="shared" si="70"/>
        <v>5.04E-2</v>
      </c>
      <c r="N76" s="17">
        <f t="shared" si="70"/>
        <v>3.8280000000000002E-2</v>
      </c>
      <c r="O76" s="17">
        <f t="shared" si="70"/>
        <v>4.2640000000000004E-2</v>
      </c>
      <c r="P76" s="17">
        <f t="shared" si="70"/>
        <v>4.2180000000000002E-2</v>
      </c>
      <c r="Q76" s="17">
        <f t="shared" si="70"/>
        <v>4.3979999999999998E-2</v>
      </c>
      <c r="R76" s="17">
        <f t="shared" si="70"/>
        <v>4.7100000000000003E-2</v>
      </c>
      <c r="S76" s="17">
        <f t="shared" si="70"/>
        <v>4.0340000000000001E-2</v>
      </c>
      <c r="T76" s="17">
        <f t="shared" si="70"/>
        <v>2.2509999999999999E-2</v>
      </c>
      <c r="U76" s="17">
        <f t="shared" si="70"/>
        <v>3.8350000000000002E-2</v>
      </c>
      <c r="V76" s="17">
        <f t="shared" si="70"/>
        <v>3.3080000000000005E-2</v>
      </c>
      <c r="W76" s="17">
        <f t="shared" si="70"/>
        <v>1.8749999999999999E-2</v>
      </c>
      <c r="X76" s="17">
        <f t="shared" si="70"/>
        <v>1.7500000000000002E-2</v>
      </c>
      <c r="Y76" s="17">
        <f t="shared" ref="Y76:Z76" si="71">Y12/100</f>
        <v>3.007E-2</v>
      </c>
      <c r="Z76" s="17">
        <f t="shared" si="71"/>
        <v>2.1750000000000002E-2</v>
      </c>
      <c r="AA76" s="111"/>
      <c r="AB76" s="6"/>
      <c r="AC76" s="6"/>
      <c r="AD76" s="6"/>
      <c r="AE76" s="6"/>
    </row>
    <row r="77" spans="1:31" s="8" customFormat="1" ht="13.5">
      <c r="A77" s="14" t="s">
        <v>43</v>
      </c>
      <c r="B77" s="17"/>
      <c r="C77" s="17">
        <f>MAX(B76*0.8,4%)</f>
        <v>6.4584000000000016E-2</v>
      </c>
      <c r="D77" s="17">
        <f t="shared" ref="D77:X77" si="72">MAX(C76*0.8,4%)</f>
        <v>5.3584E-2</v>
      </c>
      <c r="E77" s="17">
        <f t="shared" si="72"/>
        <v>5.3471999999999999E-2</v>
      </c>
      <c r="F77" s="17">
        <f t="shared" si="72"/>
        <v>4.6360000000000005E-2</v>
      </c>
      <c r="G77" s="17">
        <f t="shared" si="72"/>
        <v>6.268E-2</v>
      </c>
      <c r="H77" s="17">
        <f t="shared" si="72"/>
        <v>4.4600000000000001E-2</v>
      </c>
      <c r="I77" s="17">
        <f t="shared" si="72"/>
        <v>5.1336000000000007E-2</v>
      </c>
      <c r="J77" s="17">
        <f t="shared" si="72"/>
        <v>4.5904000000000007E-2</v>
      </c>
      <c r="K77" s="17">
        <f t="shared" si="72"/>
        <v>0.04</v>
      </c>
      <c r="L77" s="17">
        <f t="shared" si="72"/>
        <v>5.1472000000000011E-2</v>
      </c>
      <c r="M77" s="17">
        <f t="shared" si="72"/>
        <v>4.0840000000000008E-2</v>
      </c>
      <c r="N77" s="17">
        <f t="shared" si="72"/>
        <v>4.0320000000000002E-2</v>
      </c>
      <c r="O77" s="17">
        <f t="shared" si="72"/>
        <v>0.04</v>
      </c>
      <c r="P77" s="17">
        <f t="shared" si="72"/>
        <v>0.04</v>
      </c>
      <c r="Q77" s="17">
        <f t="shared" si="72"/>
        <v>0.04</v>
      </c>
      <c r="R77" s="17">
        <f t="shared" si="72"/>
        <v>0.04</v>
      </c>
      <c r="S77" s="17">
        <f t="shared" si="72"/>
        <v>0.04</v>
      </c>
      <c r="T77" s="17">
        <f t="shared" si="72"/>
        <v>0.04</v>
      </c>
      <c r="U77" s="17">
        <f t="shared" si="72"/>
        <v>0.04</v>
      </c>
      <c r="V77" s="17">
        <f t="shared" si="72"/>
        <v>0.04</v>
      </c>
      <c r="W77" s="17">
        <f t="shared" si="72"/>
        <v>0.04</v>
      </c>
      <c r="X77" s="17">
        <f t="shared" si="72"/>
        <v>0.04</v>
      </c>
      <c r="Y77" s="17">
        <f t="shared" ref="Y77" si="73">MAX(X76*0.8,4%)</f>
        <v>0.04</v>
      </c>
      <c r="Z77" s="17">
        <f t="shared" ref="Z77" si="74">MAX(Y76*0.8,4%)</f>
        <v>0.04</v>
      </c>
      <c r="AA77" s="111"/>
      <c r="AB77" s="6"/>
      <c r="AC77" s="6"/>
      <c r="AD77" s="6"/>
      <c r="AE77" s="6"/>
    </row>
    <row r="78" spans="1:31" s="8" customFormat="1" ht="13.5">
      <c r="A78" s="14" t="s">
        <v>44</v>
      </c>
      <c r="B78" s="17"/>
      <c r="C78" s="49">
        <v>0.9</v>
      </c>
      <c r="D78" s="49">
        <v>0.9</v>
      </c>
      <c r="E78" s="49">
        <v>0.9</v>
      </c>
      <c r="F78" s="49">
        <v>0.9</v>
      </c>
      <c r="G78" s="49">
        <v>0.9</v>
      </c>
      <c r="H78" s="49">
        <v>0.9</v>
      </c>
      <c r="I78" s="49">
        <v>0.9</v>
      </c>
      <c r="J78" s="49">
        <v>0.9</v>
      </c>
      <c r="K78" s="49">
        <v>0.9</v>
      </c>
      <c r="L78" s="49">
        <v>0.9</v>
      </c>
      <c r="M78" s="49">
        <v>0.9</v>
      </c>
      <c r="N78" s="49">
        <v>0.9</v>
      </c>
      <c r="O78" s="49">
        <v>0.9</v>
      </c>
      <c r="P78" s="49">
        <v>0.9</v>
      </c>
      <c r="Q78" s="49">
        <v>0.9</v>
      </c>
      <c r="R78" s="49">
        <v>0.9</v>
      </c>
      <c r="S78" s="49">
        <v>0.9</v>
      </c>
      <c r="T78" s="49">
        <v>0.9</v>
      </c>
      <c r="U78" s="49">
        <v>0.9</v>
      </c>
      <c r="V78" s="49">
        <v>0.9</v>
      </c>
      <c r="W78" s="49">
        <v>0.9</v>
      </c>
      <c r="X78" s="49">
        <v>0.9</v>
      </c>
      <c r="Y78" s="49">
        <v>0.9</v>
      </c>
      <c r="Z78" s="49">
        <v>0.9</v>
      </c>
      <c r="AA78" s="111"/>
      <c r="AB78" s="6"/>
      <c r="AC78" s="6"/>
      <c r="AD78" s="6"/>
      <c r="AE78" s="6"/>
    </row>
    <row r="79" spans="1:31" s="50" customFormat="1" ht="13.5">
      <c r="A79" s="12" t="s">
        <v>42</v>
      </c>
      <c r="B79" s="23"/>
      <c r="C79" s="37">
        <f>MAX(B76+C77*C78,7%)</f>
        <v>0.13885560000000002</v>
      </c>
      <c r="D79" s="37">
        <f t="shared" ref="D79:X79" si="75">MAX(C76+D77*D78,7%)</f>
        <v>0.11520559999999999</v>
      </c>
      <c r="E79" s="37">
        <f t="shared" si="75"/>
        <v>0.11496480000000001</v>
      </c>
      <c r="F79" s="37">
        <f t="shared" si="75"/>
        <v>9.9674000000000013E-2</v>
      </c>
      <c r="G79" s="37">
        <f t="shared" si="75"/>
        <v>0.13476199999999999</v>
      </c>
      <c r="H79" s="37">
        <f t="shared" si="75"/>
        <v>9.5890000000000003E-2</v>
      </c>
      <c r="I79" s="37">
        <f t="shared" si="75"/>
        <v>0.11037240000000001</v>
      </c>
      <c r="J79" s="37">
        <f t="shared" si="75"/>
        <v>9.869360000000002E-2</v>
      </c>
      <c r="K79" s="37">
        <f t="shared" si="75"/>
        <v>8.2470000000000016E-2</v>
      </c>
      <c r="L79" s="37">
        <f t="shared" si="75"/>
        <v>0.11066480000000002</v>
      </c>
      <c r="M79" s="37">
        <f t="shared" si="75"/>
        <v>8.7806000000000023E-2</v>
      </c>
      <c r="N79" s="37">
        <f t="shared" si="75"/>
        <v>8.6688000000000001E-2</v>
      </c>
      <c r="O79" s="37">
        <f t="shared" si="75"/>
        <v>7.4280000000000013E-2</v>
      </c>
      <c r="P79" s="37">
        <f t="shared" si="75"/>
        <v>7.8640000000000015E-2</v>
      </c>
      <c r="Q79" s="37">
        <f t="shared" si="75"/>
        <v>7.8179999999999999E-2</v>
      </c>
      <c r="R79" s="37">
        <f t="shared" si="75"/>
        <v>7.9979999999999996E-2</v>
      </c>
      <c r="S79" s="37">
        <f t="shared" si="75"/>
        <v>8.3100000000000007E-2</v>
      </c>
      <c r="T79" s="37">
        <f t="shared" si="75"/>
        <v>7.6340000000000005E-2</v>
      </c>
      <c r="U79" s="37">
        <f t="shared" si="75"/>
        <v>7.0000000000000007E-2</v>
      </c>
      <c r="V79" s="37">
        <f t="shared" si="75"/>
        <v>7.4349999999999999E-2</v>
      </c>
      <c r="W79" s="37">
        <f t="shared" si="75"/>
        <v>7.0000000000000007E-2</v>
      </c>
      <c r="X79" s="37">
        <f t="shared" si="75"/>
        <v>7.0000000000000007E-2</v>
      </c>
      <c r="Y79" s="37">
        <f t="shared" ref="Y79" si="76">MAX(X76+Y77*Y78,7%)</f>
        <v>7.0000000000000007E-2</v>
      </c>
      <c r="Z79" s="37">
        <f t="shared" ref="Z79" si="77">MAX(Y76+Z77*Z78,7%)</f>
        <v>7.0000000000000007E-2</v>
      </c>
      <c r="AA79" s="84"/>
      <c r="AB79" s="7"/>
      <c r="AC79" s="7"/>
      <c r="AD79" s="7"/>
      <c r="AE79" s="7"/>
    </row>
    <row r="80" spans="1:31" s="11" customFormat="1" ht="13.5">
      <c r="A80" s="16" t="s">
        <v>20</v>
      </c>
      <c r="B80" s="22">
        <f t="shared" ref="B80:X80" si="78">B14/1000</f>
        <v>4.3029999999999999</v>
      </c>
      <c r="C80" s="22">
        <f t="shared" si="78"/>
        <v>4.4349999999999996</v>
      </c>
      <c r="D80" s="22">
        <f t="shared" si="78"/>
        <v>4.7249999999999996</v>
      </c>
      <c r="E80" s="22">
        <f t="shared" si="78"/>
        <v>4.4240000000000004</v>
      </c>
      <c r="F80" s="22">
        <f t="shared" si="78"/>
        <v>4.726</v>
      </c>
      <c r="G80" s="22">
        <f t="shared" si="78"/>
        <v>6.5730000000000004</v>
      </c>
      <c r="H80" s="22">
        <f t="shared" si="78"/>
        <v>7.28</v>
      </c>
      <c r="I80" s="22">
        <f t="shared" si="78"/>
        <v>8.2029999999999994</v>
      </c>
      <c r="J80" s="22">
        <f t="shared" si="78"/>
        <v>9.2959999999999994</v>
      </c>
      <c r="K80" s="22">
        <f t="shared" si="78"/>
        <v>10.717000000000001</v>
      </c>
      <c r="L80" s="22">
        <f t="shared" si="78"/>
        <v>12.734999999999999</v>
      </c>
      <c r="M80" s="22">
        <f t="shared" si="78"/>
        <v>14.128</v>
      </c>
      <c r="N80" s="22">
        <f t="shared" si="78"/>
        <v>15.132999999999999</v>
      </c>
      <c r="O80" s="22">
        <f t="shared" si="78"/>
        <v>15.589</v>
      </c>
      <c r="P80" s="22">
        <f t="shared" si="78"/>
        <v>16.593</v>
      </c>
      <c r="Q80" s="22">
        <f t="shared" si="78"/>
        <v>16.353000000000002</v>
      </c>
      <c r="R80" s="22">
        <f t="shared" si="78"/>
        <v>20.666</v>
      </c>
      <c r="S80" s="22">
        <f t="shared" si="78"/>
        <v>22.468</v>
      </c>
      <c r="T80" s="22">
        <f t="shared" si="78"/>
        <v>18.088999999999999</v>
      </c>
      <c r="U80" s="22">
        <f t="shared" si="78"/>
        <v>10.725</v>
      </c>
      <c r="V80" s="22">
        <f t="shared" si="78"/>
        <v>12.504</v>
      </c>
      <c r="W80" s="22">
        <f t="shared" si="78"/>
        <v>13.077</v>
      </c>
      <c r="X80" s="22">
        <f t="shared" si="78"/>
        <v>14.217000000000001</v>
      </c>
      <c r="Y80" s="22">
        <f t="shared" ref="Y80:Z80" si="79">Y14/1000</f>
        <v>13.04</v>
      </c>
      <c r="Z80" s="22" t="e">
        <f t="shared" si="79"/>
        <v>#VALUE!</v>
      </c>
      <c r="AA80" s="112"/>
      <c r="AB80" s="28"/>
      <c r="AC80" s="28"/>
      <c r="AD80" s="28"/>
      <c r="AE80" s="28"/>
    </row>
    <row r="81" spans="1:32">
      <c r="Z81"/>
      <c r="AA81"/>
      <c r="AD81" s="4"/>
      <c r="AE81" s="4"/>
    </row>
    <row r="82" spans="1:32" ht="13.5">
      <c r="A82" s="6" t="s">
        <v>79</v>
      </c>
      <c r="B82" s="4">
        <f t="shared" ref="B82:Z82" si="80">B20/B19</f>
        <v>2.31</v>
      </c>
      <c r="C82" s="4">
        <f t="shared" si="80"/>
        <v>3.0500000000000003</v>
      </c>
      <c r="D82" s="4">
        <f t="shared" si="80"/>
        <v>3.1200000000000006</v>
      </c>
      <c r="E82" s="4">
        <f t="shared" si="80"/>
        <v>3.4699999999999998</v>
      </c>
      <c r="F82" s="4">
        <f t="shared" si="80"/>
        <v>3.3000000000000007</v>
      </c>
      <c r="G82" s="4">
        <f t="shared" si="80"/>
        <v>4.0499999999999989</v>
      </c>
      <c r="H82" s="4">
        <f t="shared" si="80"/>
        <v>5.22</v>
      </c>
      <c r="I82" s="4">
        <f t="shared" si="80"/>
        <v>6.9599999999999991</v>
      </c>
      <c r="J82" s="4">
        <f t="shared" si="80"/>
        <v>8.58</v>
      </c>
      <c r="K82" s="4">
        <f t="shared" si="80"/>
        <v>11.939999999999998</v>
      </c>
      <c r="L82" s="4">
        <f t="shared" si="80"/>
        <v>9.4299999999999979</v>
      </c>
      <c r="M82" s="4">
        <f t="shared" si="80"/>
        <v>7.2600000000000007</v>
      </c>
      <c r="N82" s="4">
        <f t="shared" si="80"/>
        <v>3.81</v>
      </c>
      <c r="O82" s="4">
        <f t="shared" si="80"/>
        <v>3.94</v>
      </c>
      <c r="P82" s="4">
        <f t="shared" si="80"/>
        <v>3.4999999999999996</v>
      </c>
      <c r="Q82" s="4">
        <f t="shared" si="80"/>
        <v>3.36</v>
      </c>
      <c r="R82" s="4">
        <f t="shared" si="80"/>
        <v>3.4</v>
      </c>
      <c r="S82" s="4">
        <f t="shared" si="80"/>
        <v>3.2</v>
      </c>
      <c r="T82" s="4">
        <f t="shared" si="80"/>
        <v>1.6300000000000003</v>
      </c>
      <c r="U82" s="4">
        <f t="shared" si="80"/>
        <v>1.3800000000000001</v>
      </c>
      <c r="V82" s="4">
        <f t="shared" si="80"/>
        <v>1.6300000000000003</v>
      </c>
      <c r="W82" s="4">
        <f t="shared" si="80"/>
        <v>1.63</v>
      </c>
      <c r="X82" s="4">
        <f t="shared" si="80"/>
        <v>1.78</v>
      </c>
      <c r="Y82" s="4">
        <f t="shared" si="80"/>
        <v>2.1598082897274473</v>
      </c>
      <c r="Z82" s="4">
        <f t="shared" si="80"/>
        <v>1.8802087682543538</v>
      </c>
      <c r="AA82"/>
      <c r="AD82" s="4"/>
      <c r="AE82" s="4"/>
    </row>
    <row r="83" spans="1:32" ht="13.5">
      <c r="Z83"/>
      <c r="AA83"/>
      <c r="AB83" s="6" t="s">
        <v>30</v>
      </c>
      <c r="AD83" s="4"/>
      <c r="AE83" s="4"/>
    </row>
    <row r="84" spans="1:32" ht="14.25" thickBot="1">
      <c r="C84" s="2">
        <v>1991</v>
      </c>
      <c r="D84" s="2">
        <v>1992</v>
      </c>
      <c r="E84" s="2">
        <v>1993</v>
      </c>
      <c r="F84" s="2">
        <v>1994</v>
      </c>
      <c r="G84" s="2">
        <v>1995</v>
      </c>
      <c r="H84" s="2">
        <v>1996</v>
      </c>
      <c r="I84" s="2">
        <v>1997</v>
      </c>
      <c r="J84" s="2">
        <v>1998</v>
      </c>
      <c r="K84" s="2">
        <v>1999</v>
      </c>
      <c r="L84" s="2">
        <v>2000</v>
      </c>
      <c r="M84" s="3" t="s">
        <v>1</v>
      </c>
      <c r="N84" s="3" t="s">
        <v>2</v>
      </c>
      <c r="O84" s="3" t="s">
        <v>4</v>
      </c>
      <c r="P84" s="3" t="s">
        <v>5</v>
      </c>
      <c r="Q84" s="3">
        <v>2005</v>
      </c>
      <c r="R84" s="3">
        <v>2006</v>
      </c>
      <c r="S84" s="3">
        <v>2007</v>
      </c>
      <c r="T84" s="3">
        <v>2008</v>
      </c>
      <c r="U84" s="3">
        <v>2009</v>
      </c>
      <c r="V84" s="3">
        <v>2010</v>
      </c>
      <c r="W84" s="3">
        <v>2011</v>
      </c>
      <c r="X84" s="3">
        <v>2012</v>
      </c>
      <c r="Y84" s="2">
        <v>2013</v>
      </c>
      <c r="Z84" s="2">
        <v>2014</v>
      </c>
      <c r="AA84"/>
      <c r="AB84" s="31" t="s">
        <v>31</v>
      </c>
      <c r="AC84" s="31" t="s">
        <v>32</v>
      </c>
      <c r="AD84" s="32" t="s">
        <v>33</v>
      </c>
      <c r="AE84" s="32" t="s">
        <v>34</v>
      </c>
    </row>
    <row r="85" spans="1:32" ht="14.25" thickBot="1">
      <c r="A85" s="92" t="s">
        <v>91</v>
      </c>
      <c r="C85" s="54">
        <f t="shared" ref="C85:X85" si="81">C21</f>
        <v>15.949370000000002</v>
      </c>
      <c r="D85" s="54">
        <f t="shared" si="81"/>
        <v>6.7259999999999991</v>
      </c>
      <c r="E85" s="54">
        <f t="shared" si="81"/>
        <v>16.431249999999991</v>
      </c>
      <c r="F85" s="54">
        <f t="shared" si="81"/>
        <v>-2.2588699999999875</v>
      </c>
      <c r="G85" s="54">
        <f t="shared" si="81"/>
        <v>33.06716999999999</v>
      </c>
      <c r="H85" s="54">
        <f t="shared" si="81"/>
        <v>42.530000000000015</v>
      </c>
      <c r="I85" s="54">
        <f t="shared" si="81"/>
        <v>77.346299999999985</v>
      </c>
      <c r="J85" s="54">
        <f t="shared" si="81"/>
        <v>94.100800000000049</v>
      </c>
      <c r="K85" s="54">
        <f t="shared" si="81"/>
        <v>172.97939999999994</v>
      </c>
      <c r="L85" s="54">
        <f t="shared" si="81"/>
        <v>-32.213199999999972</v>
      </c>
      <c r="M85" s="54">
        <f t="shared" si="81"/>
        <v>-77.113900000000001</v>
      </c>
      <c r="N85" s="54">
        <f t="shared" si="81"/>
        <v>-155.61970000000002</v>
      </c>
      <c r="O85" s="54">
        <f t="shared" si="81"/>
        <v>69.485799999999983</v>
      </c>
      <c r="P85" s="54">
        <f t="shared" si="81"/>
        <v>74.127499999999998</v>
      </c>
      <c r="Q85" s="54">
        <f t="shared" si="81"/>
        <v>-15.539099999999962</v>
      </c>
      <c r="R85" s="54">
        <f t="shared" si="81"/>
        <v>13.22059999999999</v>
      </c>
      <c r="S85" s="54">
        <f t="shared" si="81"/>
        <v>-8.9273999999999774</v>
      </c>
      <c r="T85" s="54">
        <f t="shared" si="81"/>
        <v>-213.3586</v>
      </c>
      <c r="U85" s="54">
        <f t="shared" si="81"/>
        <v>-0.18180000000003815</v>
      </c>
      <c r="V85" s="54">
        <f t="shared" si="81"/>
        <v>33.778200000000027</v>
      </c>
      <c r="W85" s="54">
        <f t="shared" si="81"/>
        <v>-5.7927000000000248</v>
      </c>
      <c r="X85" s="54">
        <f t="shared" si="81"/>
        <v>31.025200000000012</v>
      </c>
      <c r="Y85" s="54">
        <f t="shared" ref="Y85:Z85" si="82">Y21</f>
        <v>63.482599999999962</v>
      </c>
      <c r="Z85" s="54">
        <f t="shared" si="82"/>
        <v>-29.823599999999971</v>
      </c>
      <c r="AA85"/>
      <c r="AB85" s="30">
        <f>SUM(C85:X85)</f>
        <v>169.76232000000002</v>
      </c>
      <c r="AC85" s="30">
        <f>SUM(C85:K85)</f>
        <v>456.87142</v>
      </c>
      <c r="AD85" s="30">
        <f>SUM(L85:N85)</f>
        <v>-264.9468</v>
      </c>
      <c r="AE85" s="30">
        <f>SUM(O85:X85)</f>
        <v>-22.162299999999988</v>
      </c>
      <c r="AF85" s="24">
        <f>SUM(AC85:AE85)</f>
        <v>169.76232000000002</v>
      </c>
    </row>
    <row r="86" spans="1:32" ht="14.25" thickBot="1">
      <c r="A86" s="93" t="s">
        <v>6</v>
      </c>
      <c r="C86" s="54">
        <f t="shared" ref="C86:X86" si="83">C22</f>
        <v>1.78</v>
      </c>
      <c r="D86" s="54">
        <f t="shared" si="83"/>
        <v>1.925</v>
      </c>
      <c r="E86" s="54">
        <f t="shared" si="83"/>
        <v>2.153</v>
      </c>
      <c r="F86" s="54">
        <f t="shared" si="83"/>
        <v>2.4620000000000002</v>
      </c>
      <c r="G86" s="54">
        <f t="shared" si="83"/>
        <v>2.77</v>
      </c>
      <c r="H86" s="54">
        <f t="shared" si="83"/>
        <v>3.05</v>
      </c>
      <c r="I86" s="54">
        <f t="shared" si="83"/>
        <v>3.411</v>
      </c>
      <c r="J86" s="54">
        <f t="shared" si="83"/>
        <v>3.9129999999999998</v>
      </c>
      <c r="K86" s="54">
        <f t="shared" si="83"/>
        <v>4.5869999999999997</v>
      </c>
      <c r="L86" s="54">
        <f t="shared" si="83"/>
        <v>5.4009999999999998</v>
      </c>
      <c r="M86" s="54">
        <f t="shared" si="83"/>
        <v>6.3579999999999997</v>
      </c>
      <c r="N86" s="54">
        <f t="shared" si="83"/>
        <v>7.157</v>
      </c>
      <c r="O86" s="54">
        <f t="shared" si="83"/>
        <v>7.6429999999999998</v>
      </c>
      <c r="P86" s="54">
        <f t="shared" si="83"/>
        <v>8.2780000000000005</v>
      </c>
      <c r="Q86" s="54">
        <f t="shared" si="83"/>
        <v>9.3520000000000003</v>
      </c>
      <c r="R86" s="54">
        <f t="shared" si="83"/>
        <v>10.42</v>
      </c>
      <c r="S86" s="54">
        <f t="shared" si="83"/>
        <v>11.492000000000001</v>
      </c>
      <c r="T86" s="54">
        <f t="shared" si="83"/>
        <v>12.407999999999999</v>
      </c>
      <c r="U86" s="54">
        <f t="shared" si="83"/>
        <v>8.9860000000000007</v>
      </c>
      <c r="V86" s="54">
        <f t="shared" si="83"/>
        <v>4.79</v>
      </c>
      <c r="W86" s="54">
        <f t="shared" si="83"/>
        <v>6.4580000000000002</v>
      </c>
      <c r="X86" s="54">
        <f t="shared" si="83"/>
        <v>7.3404100000000003</v>
      </c>
      <c r="Y86" s="54">
        <f t="shared" ref="Y86:Z86" si="84">Y22</f>
        <v>7.9927223000000005</v>
      </c>
      <c r="Z86" s="54">
        <f t="shared" si="84"/>
        <v>8.9375491</v>
      </c>
      <c r="AA86"/>
      <c r="AB86" s="30">
        <f>SUM(C86:X86)</f>
        <v>132.13441</v>
      </c>
      <c r="AC86" s="30">
        <f>SUM(C86:K86)</f>
        <v>26.051000000000002</v>
      </c>
      <c r="AD86" s="30">
        <f>SUM(L86:N86)</f>
        <v>18.916</v>
      </c>
      <c r="AE86" s="30">
        <f>SUM(O86:X86)</f>
        <v>87.167410000000018</v>
      </c>
      <c r="AF86" s="24">
        <f>SUM(AC86:AE86)</f>
        <v>132.13441</v>
      </c>
    </row>
    <row r="87" spans="1:32" ht="14.25" thickBot="1">
      <c r="A87" s="93" t="s">
        <v>48</v>
      </c>
      <c r="C87" s="54">
        <f>C23</f>
        <v>0.76269089284339719</v>
      </c>
      <c r="D87" s="54">
        <f t="shared" ref="D87:X87" si="85">D23</f>
        <v>0.96590145520132287</v>
      </c>
      <c r="E87" s="54">
        <f t="shared" si="85"/>
        <v>0.11406419988348974</v>
      </c>
      <c r="F87" s="54">
        <f t="shared" si="85"/>
        <v>-0.19447164330753797</v>
      </c>
      <c r="G87" s="54">
        <f t="shared" si="85"/>
        <v>2.3947978814331634</v>
      </c>
      <c r="H87" s="54">
        <f t="shared" si="85"/>
        <v>2.0653846238781877</v>
      </c>
      <c r="I87" s="54">
        <f t="shared" si="85"/>
        <v>1.0455521969947077</v>
      </c>
      <c r="J87" s="54">
        <f t="shared" si="85"/>
        <v>-0.43496153530181975</v>
      </c>
      <c r="K87" s="54">
        <f t="shared" si="85"/>
        <v>-0.21693569061853984</v>
      </c>
      <c r="L87" s="54">
        <f t="shared" si="85"/>
        <v>-3.7427787985425693</v>
      </c>
      <c r="M87" s="54">
        <f t="shared" si="85"/>
        <v>-0.87473808074843751</v>
      </c>
      <c r="N87" s="54">
        <f t="shared" si="85"/>
        <v>-0.7487933465144293</v>
      </c>
      <c r="O87" s="54">
        <f t="shared" si="85"/>
        <v>-3.0800810461824311</v>
      </c>
      <c r="P87" s="54">
        <f t="shared" si="85"/>
        <v>-16.179976590241978</v>
      </c>
      <c r="Q87" s="54">
        <f t="shared" si="85"/>
        <v>0.14271886453115024</v>
      </c>
      <c r="R87" s="54">
        <f t="shared" si="85"/>
        <v>8.5888161200151067</v>
      </c>
      <c r="S87" s="54">
        <f t="shared" si="85"/>
        <v>8.0995105966395702</v>
      </c>
      <c r="T87" s="54">
        <f t="shared" si="85"/>
        <v>5.1261905543690141</v>
      </c>
      <c r="U87" s="54">
        <f t="shared" si="85"/>
        <v>-9.6233834870926689</v>
      </c>
      <c r="V87" s="54">
        <f t="shared" si="85"/>
        <v>-0.12846803017747538</v>
      </c>
      <c r="W87" s="54">
        <f t="shared" si="85"/>
        <v>1.7317032920630175</v>
      </c>
      <c r="X87" s="54">
        <f t="shared" si="85"/>
        <v>1.6177127750394507</v>
      </c>
      <c r="Y87" s="54">
        <f>Y23</f>
        <v>0</v>
      </c>
      <c r="Z87" s="54">
        <f t="shared" ref="Z87" si="86">Z23</f>
        <v>0</v>
      </c>
      <c r="AA87"/>
      <c r="AB87" s="30">
        <f>SUM(C87:X87)</f>
        <v>-2.5695447958363058</v>
      </c>
      <c r="AC87" s="30">
        <f>SUM(C87:K87)</f>
        <v>6.5020223810063715</v>
      </c>
      <c r="AD87" s="30">
        <f>SUM(L87:N87)</f>
        <v>-5.366310225805436</v>
      </c>
      <c r="AE87" s="30">
        <f>SUM(O87:X87)</f>
        <v>-3.705256951037244</v>
      </c>
      <c r="AF87" s="24">
        <f>SUM(AC87:AE87)</f>
        <v>-2.5695447958363085</v>
      </c>
    </row>
    <row r="88" spans="1:32" ht="14.25" thickBot="1">
      <c r="A88" s="94" t="s">
        <v>8</v>
      </c>
      <c r="C88" s="54">
        <f t="shared" ref="C88:X88" si="87">C24</f>
        <v>18.492060892843401</v>
      </c>
      <c r="D88" s="54">
        <f t="shared" si="87"/>
        <v>9.6169014552013223</v>
      </c>
      <c r="E88" s="54">
        <f t="shared" si="87"/>
        <v>18.69831419988348</v>
      </c>
      <c r="F88" s="54">
        <f t="shared" si="87"/>
        <v>8.6583566924747224E-3</v>
      </c>
      <c r="G88" s="54">
        <f t="shared" si="87"/>
        <v>38.231967881433157</v>
      </c>
      <c r="H88" s="54">
        <f t="shared" si="87"/>
        <v>47.645384623878201</v>
      </c>
      <c r="I88" s="54">
        <f t="shared" si="87"/>
        <v>81.802852196994692</v>
      </c>
      <c r="J88" s="54">
        <f t="shared" si="87"/>
        <v>97.578838464698222</v>
      </c>
      <c r="K88" s="54">
        <f t="shared" si="87"/>
        <v>177.3494643093814</v>
      </c>
      <c r="L88" s="54">
        <f t="shared" si="87"/>
        <v>-30.554978798542543</v>
      </c>
      <c r="M88" s="54">
        <f t="shared" si="87"/>
        <v>-71.63063808074844</v>
      </c>
      <c r="N88" s="54">
        <f t="shared" si="87"/>
        <v>-149.21149334651443</v>
      </c>
      <c r="O88" s="54">
        <f t="shared" si="87"/>
        <v>74.048718953817556</v>
      </c>
      <c r="P88" s="54">
        <f t="shared" si="87"/>
        <v>66.225523409758026</v>
      </c>
      <c r="Q88" s="54">
        <f t="shared" si="87"/>
        <v>-6.0443811354688117</v>
      </c>
      <c r="R88" s="54">
        <f t="shared" si="87"/>
        <v>32.229416120015102</v>
      </c>
      <c r="S88" s="54">
        <f t="shared" si="87"/>
        <v>10.664110596639594</v>
      </c>
      <c r="T88" s="54">
        <f t="shared" si="87"/>
        <v>-195.82440944563101</v>
      </c>
      <c r="U88" s="54">
        <f t="shared" si="87"/>
        <v>-0.81918348709270639</v>
      </c>
      <c r="V88" s="54">
        <f t="shared" si="87"/>
        <v>38.439731969822553</v>
      </c>
      <c r="W88" s="54">
        <f t="shared" si="87"/>
        <v>2.3970032920629931</v>
      </c>
      <c r="X88" s="54">
        <f t="shared" si="87"/>
        <v>39.983322775039461</v>
      </c>
      <c r="Y88" s="54">
        <f t="shared" ref="Y88:Z88" si="88">Y24</f>
        <v>71.475322299999959</v>
      </c>
      <c r="Z88" s="54">
        <f t="shared" si="88"/>
        <v>-20.886050899999972</v>
      </c>
      <c r="AA88"/>
      <c r="AB88" s="30">
        <f>SUM(C88:X88)</f>
        <v>299.32718520416375</v>
      </c>
      <c r="AC88" s="30">
        <f>SUM(C88:K88)</f>
        <v>489.42444238100637</v>
      </c>
      <c r="AD88" s="30">
        <f>SUM(L88:N88)</f>
        <v>-251.39711022580542</v>
      </c>
      <c r="AE88" s="30">
        <f>SUM(O88:X88)</f>
        <v>61.299853048962774</v>
      </c>
      <c r="AF88" s="24">
        <f>SUM(AC88:AE88)</f>
        <v>299.3271852041637</v>
      </c>
    </row>
    <row r="89" spans="1:32" ht="13.5">
      <c r="C89" s="54">
        <f>C85+C86+C87</f>
        <v>18.492060892843401</v>
      </c>
      <c r="D89" s="54">
        <f t="shared" ref="D89:W89" si="89">D85+D86+D87</f>
        <v>9.6169014552013223</v>
      </c>
      <c r="E89" s="54">
        <f t="shared" si="89"/>
        <v>18.69831419988348</v>
      </c>
      <c r="F89" s="54">
        <f t="shared" si="89"/>
        <v>8.6583566924747224E-3</v>
      </c>
      <c r="G89" s="54">
        <f t="shared" si="89"/>
        <v>38.231967881433157</v>
      </c>
      <c r="H89" s="54">
        <f t="shared" si="89"/>
        <v>47.645384623878201</v>
      </c>
      <c r="I89" s="54">
        <f t="shared" si="89"/>
        <v>81.802852196994692</v>
      </c>
      <c r="J89" s="54">
        <f t="shared" si="89"/>
        <v>97.578838464698222</v>
      </c>
      <c r="K89" s="54">
        <f t="shared" si="89"/>
        <v>177.3494643093814</v>
      </c>
      <c r="L89" s="54">
        <f t="shared" si="89"/>
        <v>-30.554978798542543</v>
      </c>
      <c r="M89" s="54">
        <f t="shared" si="89"/>
        <v>-71.63063808074844</v>
      </c>
      <c r="N89" s="54">
        <f t="shared" si="89"/>
        <v>-149.21149334651443</v>
      </c>
      <c r="O89" s="54">
        <f t="shared" si="89"/>
        <v>74.048718953817556</v>
      </c>
      <c r="P89" s="54">
        <f t="shared" si="89"/>
        <v>66.225523409758026</v>
      </c>
      <c r="Q89" s="54">
        <f t="shared" si="89"/>
        <v>-6.0443811354688117</v>
      </c>
      <c r="R89" s="54">
        <f t="shared" si="89"/>
        <v>32.229416120015102</v>
      </c>
      <c r="S89" s="54">
        <f t="shared" si="89"/>
        <v>10.664110596639594</v>
      </c>
      <c r="T89" s="54">
        <f t="shared" si="89"/>
        <v>-195.82440944563101</v>
      </c>
      <c r="U89" s="54">
        <f t="shared" si="89"/>
        <v>-0.81918348709270639</v>
      </c>
      <c r="V89" s="54">
        <f t="shared" si="89"/>
        <v>38.439731969822553</v>
      </c>
      <c r="W89" s="54">
        <f t="shared" si="89"/>
        <v>2.3970032920629931</v>
      </c>
      <c r="X89" s="54">
        <f>X85+X86+X87</f>
        <v>39.983322775039461</v>
      </c>
      <c r="Y89" s="54">
        <f>Y85+Y86+Y87</f>
        <v>71.475322299999959</v>
      </c>
      <c r="Z89" s="54">
        <f t="shared" ref="Z89" si="90">Z85+Z86+Z87</f>
        <v>-20.886050899999972</v>
      </c>
      <c r="AA89"/>
      <c r="AB89" s="30">
        <f>SUM(C89:X89)</f>
        <v>299.32718520416375</v>
      </c>
      <c r="AC89" s="30">
        <f>SUM(C89:K89)</f>
        <v>489.42444238100637</v>
      </c>
      <c r="AD89" s="30">
        <f>SUM(L89:N89)</f>
        <v>-251.39711022580542</v>
      </c>
      <c r="AE89" s="30">
        <f>SUM(O89:X89)</f>
        <v>61.299853048962774</v>
      </c>
      <c r="AF89" s="24">
        <f>SUM(AC89:AE89)</f>
        <v>299.3271852041637</v>
      </c>
    </row>
    <row r="90" spans="1:32">
      <c r="Z90"/>
      <c r="AA90"/>
      <c r="AD90" s="4"/>
      <c r="AE90" s="4"/>
    </row>
    <row r="91" spans="1:32">
      <c r="B91" s="2">
        <v>1990</v>
      </c>
      <c r="C91" s="2">
        <v>1991</v>
      </c>
      <c r="D91" s="2">
        <v>1992</v>
      </c>
      <c r="E91" s="2">
        <v>1993</v>
      </c>
      <c r="F91" s="2">
        <v>1994</v>
      </c>
      <c r="G91" s="2">
        <v>1995</v>
      </c>
      <c r="H91" s="2">
        <v>1996</v>
      </c>
      <c r="I91" s="2">
        <v>1997</v>
      </c>
      <c r="J91" s="2">
        <v>1998</v>
      </c>
      <c r="K91" s="2">
        <v>1999</v>
      </c>
      <c r="L91" s="2">
        <v>2000</v>
      </c>
      <c r="M91" s="2">
        <v>2001</v>
      </c>
      <c r="N91" s="2">
        <v>2002</v>
      </c>
      <c r="O91" s="2">
        <v>2003</v>
      </c>
      <c r="P91" s="2">
        <v>2004</v>
      </c>
      <c r="Q91" s="2">
        <v>2005</v>
      </c>
      <c r="R91" s="2">
        <v>2006</v>
      </c>
      <c r="S91" s="2">
        <v>2007</v>
      </c>
      <c r="T91" s="2">
        <v>2008</v>
      </c>
      <c r="U91" s="2">
        <v>2009</v>
      </c>
      <c r="V91" s="2">
        <v>2010</v>
      </c>
      <c r="W91" s="2">
        <v>2011</v>
      </c>
      <c r="X91" s="2">
        <v>2012</v>
      </c>
      <c r="Y91" s="2">
        <v>2013</v>
      </c>
      <c r="Z91" s="2">
        <v>2014</v>
      </c>
      <c r="AA91" t="s">
        <v>53</v>
      </c>
      <c r="AB91" s="4" t="s">
        <v>54</v>
      </c>
      <c r="AD91" s="4"/>
      <c r="AE91" s="4"/>
    </row>
    <row r="92" spans="1:32">
      <c r="A92" s="8" t="s">
        <v>50</v>
      </c>
      <c r="B92" s="56">
        <f>B72*12</f>
        <v>10529.652</v>
      </c>
      <c r="C92" s="56">
        <f>C72*12</f>
        <v>10399.103999999999</v>
      </c>
      <c r="D92" s="56">
        <f>D72*12</f>
        <v>10248.468000000001</v>
      </c>
      <c r="E92" s="56">
        <f>E72*12</f>
        <v>10235.219999999999</v>
      </c>
      <c r="F92" s="56">
        <f>F72*6</f>
        <v>10257.960000000001</v>
      </c>
      <c r="G92" s="56">
        <f>G72*6</f>
        <v>10021.644</v>
      </c>
      <c r="H92" s="56">
        <f>H72*6</f>
        <v>9878.52</v>
      </c>
      <c r="I92" s="56">
        <f>I72*3</f>
        <v>9818.1720000000005</v>
      </c>
      <c r="J92" s="56">
        <f>J72*3</f>
        <v>9830.4989999999998</v>
      </c>
      <c r="K92" s="56">
        <f>K72*3</f>
        <v>9832.9470000000001</v>
      </c>
      <c r="L92" s="56">
        <f t="shared" ref="L92:X92" si="91">L72</f>
        <v>9908.7999999999993</v>
      </c>
      <c r="M92" s="56">
        <f t="shared" si="91"/>
        <v>9927.3799999999992</v>
      </c>
      <c r="N92" s="56">
        <f t="shared" si="91"/>
        <v>9949.4699999999993</v>
      </c>
      <c r="O92" s="56">
        <f t="shared" si="91"/>
        <v>10063.120000000001</v>
      </c>
      <c r="P92" s="56">
        <f t="shared" si="91"/>
        <v>10572.13</v>
      </c>
      <c r="Q92" s="56">
        <f t="shared" si="91"/>
        <v>10566.16</v>
      </c>
      <c r="R92" s="56">
        <f t="shared" si="91"/>
        <v>10308.1</v>
      </c>
      <c r="S92" s="56">
        <f t="shared" si="91"/>
        <v>10106.209999999999</v>
      </c>
      <c r="T92" s="56">
        <f t="shared" si="91"/>
        <v>9955.4560000000001</v>
      </c>
      <c r="U92" s="56">
        <f t="shared" si="91"/>
        <v>10647.49</v>
      </c>
      <c r="V92" s="56">
        <f t="shared" si="91"/>
        <v>10654.72</v>
      </c>
      <c r="W92" s="56">
        <f t="shared" si="91"/>
        <v>10557.35</v>
      </c>
      <c r="X92" s="56">
        <f t="shared" si="91"/>
        <v>10486.3</v>
      </c>
      <c r="Y92" s="56">
        <f>Y72</f>
        <v>10117.370000000001</v>
      </c>
      <c r="Z92" s="56">
        <f>Z72</f>
        <v>10042.19</v>
      </c>
      <c r="AA92" s="56">
        <f>MAX(B92:X92)</f>
        <v>10654.72</v>
      </c>
      <c r="AB92" s="58">
        <f>MIN(B92:X92)</f>
        <v>9818.1720000000005</v>
      </c>
      <c r="AD92" s="4"/>
      <c r="AE92" s="4"/>
    </row>
    <row r="93" spans="1:32">
      <c r="A93" s="8" t="s">
        <v>49</v>
      </c>
      <c r="Z93"/>
      <c r="AA93"/>
      <c r="AB93" s="4">
        <f>AA92/AB92</f>
        <v>1.0852040481670111</v>
      </c>
      <c r="AD93" s="4"/>
      <c r="AE93" s="4"/>
    </row>
    <row r="94" spans="1:32">
      <c r="Z94"/>
      <c r="AA94"/>
      <c r="AD94" s="4"/>
      <c r="AE94" s="4"/>
    </row>
    <row r="95" spans="1:32" ht="13.5">
      <c r="A95" s="6"/>
      <c r="B95" s="2">
        <v>1991</v>
      </c>
      <c r="C95" s="2">
        <v>1992</v>
      </c>
      <c r="D95" s="2">
        <v>1993</v>
      </c>
      <c r="E95" s="2">
        <v>1994</v>
      </c>
      <c r="F95" s="2">
        <v>1995</v>
      </c>
      <c r="G95" s="2">
        <v>1996</v>
      </c>
      <c r="H95" s="2">
        <v>1997</v>
      </c>
      <c r="I95" s="2">
        <v>1998</v>
      </c>
      <c r="J95" s="2">
        <v>1999</v>
      </c>
      <c r="K95" s="2">
        <v>2000</v>
      </c>
      <c r="L95" s="2">
        <v>2001</v>
      </c>
      <c r="M95" s="2">
        <v>2002</v>
      </c>
      <c r="N95" s="2">
        <v>2003</v>
      </c>
      <c r="O95" s="2">
        <v>2004</v>
      </c>
      <c r="P95" s="2">
        <v>2005</v>
      </c>
      <c r="Q95" s="2">
        <v>2006</v>
      </c>
      <c r="R95" s="2">
        <v>2007</v>
      </c>
      <c r="S95" s="2">
        <v>2008</v>
      </c>
      <c r="T95" s="2">
        <v>2009</v>
      </c>
      <c r="U95" s="2">
        <v>2010</v>
      </c>
      <c r="V95" s="2">
        <v>2011</v>
      </c>
      <c r="W95" s="2">
        <v>2012</v>
      </c>
      <c r="X95" s="2">
        <v>2013</v>
      </c>
      <c r="Y95" s="2">
        <v>2014</v>
      </c>
      <c r="Z95"/>
      <c r="AA95"/>
      <c r="AD95" s="4"/>
      <c r="AE95" s="4"/>
    </row>
    <row r="96" spans="1:32" ht="13.5">
      <c r="A96" s="6" t="s">
        <v>51</v>
      </c>
      <c r="B96" s="57">
        <f t="shared" ref="B96:W96" si="92">C25</f>
        <v>0.36730767642793866</v>
      </c>
      <c r="C96" s="57">
        <f t="shared" si="92"/>
        <v>0.14506388495535166</v>
      </c>
      <c r="D96" s="57">
        <f t="shared" si="92"/>
        <v>0.25607025722157184</v>
      </c>
      <c r="E96" s="57">
        <f t="shared" si="92"/>
        <v>9.6793868101426172E-5</v>
      </c>
      <c r="F96" s="57">
        <f t="shared" si="92"/>
        <v>0.43847705799713982</v>
      </c>
      <c r="G96" s="57">
        <f t="shared" si="92"/>
        <v>0.39618712673626766</v>
      </c>
      <c r="H96" s="57">
        <f t="shared" si="92"/>
        <v>0.50250600588608552</v>
      </c>
      <c r="I96" s="57">
        <f t="shared" si="92"/>
        <v>0.40634806039032956</v>
      </c>
      <c r="J96" s="57">
        <f t="shared" si="92"/>
        <v>0.53061006821623036</v>
      </c>
      <c r="K96" s="57">
        <f t="shared" si="92"/>
        <v>-6.0240530122045652E-2</v>
      </c>
      <c r="L96" s="57">
        <f t="shared" si="92"/>
        <v>-0.15080035915712642</v>
      </c>
      <c r="M96" s="57">
        <f t="shared" si="92"/>
        <v>-0.37500764872862702</v>
      </c>
      <c r="N96" s="57">
        <f t="shared" si="92"/>
        <v>0.30564606338733336</v>
      </c>
      <c r="O96" s="57">
        <f t="shared" si="92"/>
        <v>0.21242789909187759</v>
      </c>
      <c r="P96" s="57">
        <f t="shared" si="92"/>
        <v>-1.5663774429616487E-2</v>
      </c>
      <c r="Q96" s="57">
        <f t="shared" si="92"/>
        <v>8.7025690243995243E-2</v>
      </c>
      <c r="R96" s="57">
        <f t="shared" si="92"/>
        <v>2.7802667236339756E-2</v>
      </c>
      <c r="S96" s="57">
        <f t="shared" si="92"/>
        <v>-0.52270454257343846</v>
      </c>
      <c r="T96" s="57">
        <f t="shared" si="92"/>
        <v>-5.0793162322067273E-3</v>
      </c>
      <c r="U96" s="57">
        <f t="shared" si="92"/>
        <v>0.2386130795505958</v>
      </c>
      <c r="V96" s="57">
        <f t="shared" si="92"/>
        <v>1.2300228259815117E-2</v>
      </c>
      <c r="W96" s="57">
        <f t="shared" si="92"/>
        <v>0.21146022770564868</v>
      </c>
      <c r="X96" s="57">
        <f t="shared" ref="X96" si="93">Y25</f>
        <v>0.32472959676012397</v>
      </c>
      <c r="Y96" s="57">
        <f t="shared" ref="Y96" si="94">Z25</f>
        <v>-7.3648808596077767E-2</v>
      </c>
      <c r="Z96"/>
      <c r="AA96"/>
      <c r="AD96" s="4"/>
      <c r="AE96" s="4"/>
    </row>
    <row r="97" spans="1:31" ht="13.5">
      <c r="A97" s="6" t="s">
        <v>52</v>
      </c>
      <c r="B97" s="57">
        <f t="shared" ref="B97:W97" si="95">C30</f>
        <v>0.13885560000000002</v>
      </c>
      <c r="C97" s="57">
        <f t="shared" si="95"/>
        <v>0.11520559999999999</v>
      </c>
      <c r="D97" s="57">
        <f t="shared" si="95"/>
        <v>0.11496480000000001</v>
      </c>
      <c r="E97" s="57">
        <f t="shared" si="95"/>
        <v>9.9674000000000013E-2</v>
      </c>
      <c r="F97" s="57">
        <f t="shared" si="95"/>
        <v>0.13476199999999999</v>
      </c>
      <c r="G97" s="57">
        <f t="shared" si="95"/>
        <v>9.5890000000000003E-2</v>
      </c>
      <c r="H97" s="57">
        <f t="shared" si="95"/>
        <v>0.11037240000000001</v>
      </c>
      <c r="I97" s="57">
        <f t="shared" si="95"/>
        <v>9.869360000000002E-2</v>
      </c>
      <c r="J97" s="57">
        <f t="shared" si="95"/>
        <v>8.2470000000000016E-2</v>
      </c>
      <c r="K97" s="57">
        <f t="shared" si="95"/>
        <v>0.11066480000000002</v>
      </c>
      <c r="L97" s="57">
        <f t="shared" si="95"/>
        <v>8.7806000000000023E-2</v>
      </c>
      <c r="M97" s="57">
        <f t="shared" si="95"/>
        <v>8.6688000000000001E-2</v>
      </c>
      <c r="N97" s="57">
        <f t="shared" si="95"/>
        <v>7.4280000000000013E-2</v>
      </c>
      <c r="O97" s="57">
        <f t="shared" si="95"/>
        <v>7.8640000000000015E-2</v>
      </c>
      <c r="P97" s="57">
        <f t="shared" si="95"/>
        <v>7.8179999999999999E-2</v>
      </c>
      <c r="Q97" s="57">
        <f t="shared" si="95"/>
        <v>7.9979999999999996E-2</v>
      </c>
      <c r="R97" s="57">
        <f t="shared" si="95"/>
        <v>8.3100000000000007E-2</v>
      </c>
      <c r="S97" s="57">
        <f t="shared" si="95"/>
        <v>7.6340000000000005E-2</v>
      </c>
      <c r="T97" s="57">
        <f t="shared" si="95"/>
        <v>7.0000000000000007E-2</v>
      </c>
      <c r="U97" s="57">
        <f t="shared" si="95"/>
        <v>7.4349999999999999E-2</v>
      </c>
      <c r="V97" s="57">
        <f t="shared" si="95"/>
        <v>7.0000000000000007E-2</v>
      </c>
      <c r="W97" s="57">
        <f t="shared" si="95"/>
        <v>7.0000000000000007E-2</v>
      </c>
      <c r="X97" s="57">
        <f t="shared" ref="X97" si="96">Y30</f>
        <v>7.0000000000000007E-2</v>
      </c>
      <c r="Y97" s="57">
        <f t="shared" ref="Y97" si="97">Z30</f>
        <v>7.0000000000000007E-2</v>
      </c>
      <c r="Z97"/>
      <c r="AA97"/>
      <c r="AD97" s="4"/>
      <c r="AE97" s="4"/>
    </row>
    <row r="98" spans="1:31" ht="13.5">
      <c r="A98" s="6"/>
      <c r="Z98"/>
      <c r="AA98"/>
      <c r="AD98" s="4"/>
      <c r="AE98" s="4"/>
    </row>
    <row r="99" spans="1:31" ht="13.5">
      <c r="A99" s="6"/>
      <c r="Z99"/>
      <c r="AA99"/>
      <c r="AD99" s="4"/>
      <c r="AE99" s="4"/>
    </row>
    <row r="100" spans="1:31" ht="13.5">
      <c r="A100" s="6"/>
      <c r="B100" s="2">
        <v>1990</v>
      </c>
      <c r="C100" s="2">
        <v>1991</v>
      </c>
      <c r="D100" s="2">
        <v>1992</v>
      </c>
      <c r="E100" s="2">
        <v>1993</v>
      </c>
      <c r="F100" s="2">
        <v>1994</v>
      </c>
      <c r="G100" s="2">
        <v>1995</v>
      </c>
      <c r="H100" s="2">
        <v>1996</v>
      </c>
      <c r="I100" s="2">
        <v>1997</v>
      </c>
      <c r="J100" s="2">
        <v>1998</v>
      </c>
      <c r="K100" s="2">
        <v>1999</v>
      </c>
      <c r="L100" s="2">
        <v>2000</v>
      </c>
      <c r="M100" s="2">
        <v>2001</v>
      </c>
      <c r="N100" s="2">
        <v>2002</v>
      </c>
      <c r="O100" s="2">
        <v>2003</v>
      </c>
      <c r="P100" s="2">
        <v>2004</v>
      </c>
      <c r="Q100" s="2">
        <v>2005</v>
      </c>
      <c r="R100" s="2">
        <v>2006</v>
      </c>
      <c r="S100" s="2">
        <v>2007</v>
      </c>
      <c r="T100" s="2">
        <v>2008</v>
      </c>
      <c r="U100" s="2">
        <v>2009</v>
      </c>
      <c r="V100" s="2">
        <v>2010</v>
      </c>
      <c r="W100" s="2">
        <v>2011</v>
      </c>
      <c r="X100" s="2">
        <v>2012</v>
      </c>
      <c r="Y100" s="2">
        <v>2013</v>
      </c>
      <c r="Z100" s="2">
        <v>2014</v>
      </c>
      <c r="AA100"/>
      <c r="AD100" s="4"/>
      <c r="AE100" s="4"/>
    </row>
    <row r="101" spans="1:31" ht="13.5">
      <c r="A101" s="6" t="s">
        <v>51</v>
      </c>
      <c r="B101">
        <v>1</v>
      </c>
      <c r="C101">
        <f>(1+B96)*B101</f>
        <v>1.3673076764279386</v>
      </c>
      <c r="D101">
        <f t="shared" ref="D101:X101" si="98">(1+C96)*C101</f>
        <v>1.5656546398998501</v>
      </c>
      <c r="E101">
        <f t="shared" si="98"/>
        <v>1.9665722262591521</v>
      </c>
      <c r="F101">
        <f t="shared" si="98"/>
        <v>1.9667625783918323</v>
      </c>
      <c r="G101">
        <f t="shared" si="98"/>
        <v>2.829142847543952</v>
      </c>
      <c r="H101">
        <f t="shared" si="98"/>
        <v>3.9500128234388523</v>
      </c>
      <c r="I101">
        <f t="shared" si="98"/>
        <v>5.9349179905439291</v>
      </c>
      <c r="J101">
        <f t="shared" si="98"/>
        <v>8.3465604045771276</v>
      </c>
      <c r="K101">
        <f t="shared" si="98"/>
        <v>12.775329390220683</v>
      </c>
      <c r="L101">
        <f t="shared" si="98"/>
        <v>12.005736775270039</v>
      </c>
      <c r="M101">
        <f t="shared" si="98"/>
        <v>10.195267357613396</v>
      </c>
      <c r="N101">
        <f t="shared" si="98"/>
        <v>6.3719641176750743</v>
      </c>
      <c r="O101">
        <f t="shared" si="98"/>
        <v>8.3195298662878052</v>
      </c>
      <c r="P101">
        <f t="shared" si="98"/>
        <v>10.086830117215452</v>
      </c>
      <c r="Q101">
        <f t="shared" si="98"/>
        <v>9.928832285549527</v>
      </c>
      <c r="R101">
        <f t="shared" si="98"/>
        <v>10.792895768516338</v>
      </c>
      <c r="S101">
        <f t="shared" si="98"/>
        <v>11.092967058084898</v>
      </c>
      <c r="T101">
        <f t="shared" si="98"/>
        <v>5.2946227862064106</v>
      </c>
      <c r="U101">
        <f t="shared" si="98"/>
        <v>5.2677297227450213</v>
      </c>
      <c r="V101">
        <f t="shared" si="98"/>
        <v>6.5246789341294171</v>
      </c>
      <c r="W101">
        <f t="shared" si="98"/>
        <v>6.6049339743412157</v>
      </c>
      <c r="X101">
        <f t="shared" si="98"/>
        <v>8.0016148165361844</v>
      </c>
      <c r="Y101">
        <f>(1+X96)*X101</f>
        <v>10.599975969339813</v>
      </c>
      <c r="Z101">
        <f t="shared" ref="Z101:Z102" si="99">(1+Y96)*Y101</f>
        <v>9.8193003680508806</v>
      </c>
      <c r="AA101"/>
      <c r="AD101" s="4"/>
      <c r="AE101" s="4"/>
    </row>
    <row r="102" spans="1:31" ht="13.5">
      <c r="A102" s="6" t="s">
        <v>52</v>
      </c>
      <c r="B102">
        <v>1</v>
      </c>
      <c r="C102">
        <f>(1+B97)*B102</f>
        <v>1.1388556000000001</v>
      </c>
      <c r="D102">
        <f t="shared" ref="D102:X102" si="100">(1+C97)*C102</f>
        <v>1.27005814271136</v>
      </c>
      <c r="E102">
        <f t="shared" si="100"/>
        <v>1.4160701230765431</v>
      </c>
      <c r="F102">
        <f t="shared" si="100"/>
        <v>1.5572154965240745</v>
      </c>
      <c r="G102">
        <f t="shared" si="100"/>
        <v>1.7670689712666519</v>
      </c>
      <c r="H102">
        <f t="shared" si="100"/>
        <v>1.9365132149214113</v>
      </c>
      <c r="I102">
        <f t="shared" si="100"/>
        <v>2.1502508260840032</v>
      </c>
      <c r="J102">
        <f t="shared" si="100"/>
        <v>2.3624668210132076</v>
      </c>
      <c r="K102">
        <f t="shared" si="100"/>
        <v>2.557299459742167</v>
      </c>
      <c r="L102">
        <f t="shared" si="100"/>
        <v>2.8403024929946423</v>
      </c>
      <c r="M102">
        <f t="shared" si="100"/>
        <v>3.0896980936945302</v>
      </c>
      <c r="N102">
        <f t="shared" si="100"/>
        <v>3.3575378420407218</v>
      </c>
      <c r="O102">
        <f t="shared" si="100"/>
        <v>3.6069357529475061</v>
      </c>
      <c r="P102">
        <f t="shared" si="100"/>
        <v>3.8905851805592984</v>
      </c>
      <c r="Q102">
        <f t="shared" si="100"/>
        <v>4.1947511299754243</v>
      </c>
      <c r="R102">
        <f t="shared" si="100"/>
        <v>4.5302473253508584</v>
      </c>
      <c r="S102">
        <f t="shared" si="100"/>
        <v>4.9067108780875142</v>
      </c>
      <c r="T102">
        <f t="shared" si="100"/>
        <v>5.2812891865207154</v>
      </c>
      <c r="U102">
        <f t="shared" si="100"/>
        <v>5.6509794295771663</v>
      </c>
      <c r="V102">
        <f t="shared" si="100"/>
        <v>6.0711297501662278</v>
      </c>
      <c r="W102">
        <f t="shared" si="100"/>
        <v>6.496108832677864</v>
      </c>
      <c r="X102">
        <f t="shared" si="100"/>
        <v>6.9508364509653147</v>
      </c>
      <c r="Y102">
        <f>(1+X97)*X102</f>
        <v>7.4373950025328872</v>
      </c>
      <c r="Z102">
        <f t="shared" si="99"/>
        <v>7.95801265271019</v>
      </c>
      <c r="AA102"/>
      <c r="AD102" s="4"/>
      <c r="AE102" s="4"/>
    </row>
    <row r="103" spans="1:31" ht="13.5">
      <c r="A103" s="6"/>
      <c r="Z103"/>
      <c r="AA103"/>
      <c r="AD103" s="4"/>
      <c r="AE103" s="4"/>
    </row>
    <row r="104" spans="1:31" ht="13.5">
      <c r="A104" s="6"/>
      <c r="Z104"/>
      <c r="AA104"/>
      <c r="AD104" s="4"/>
      <c r="AE104" s="4"/>
    </row>
    <row r="105" spans="1:31" ht="13.5">
      <c r="A105" s="6"/>
      <c r="B105" s="2">
        <v>1991</v>
      </c>
      <c r="C105" s="2">
        <v>1992</v>
      </c>
      <c r="D105" s="2">
        <v>1993</v>
      </c>
      <c r="E105" s="2">
        <v>1994</v>
      </c>
      <c r="F105" s="2">
        <v>1995</v>
      </c>
      <c r="G105" s="2">
        <v>1996</v>
      </c>
      <c r="H105" s="2">
        <v>1997</v>
      </c>
      <c r="I105" s="2">
        <v>1998</v>
      </c>
      <c r="J105" s="2">
        <v>1999</v>
      </c>
      <c r="K105" s="2">
        <v>2000</v>
      </c>
      <c r="L105" s="2">
        <v>2001</v>
      </c>
      <c r="M105" s="2">
        <v>2002</v>
      </c>
      <c r="N105" s="2">
        <v>2003</v>
      </c>
      <c r="O105" s="2">
        <v>2004</v>
      </c>
      <c r="P105" s="2">
        <v>2005</v>
      </c>
      <c r="Q105" s="2">
        <v>2006</v>
      </c>
      <c r="R105" s="2">
        <v>2007</v>
      </c>
      <c r="S105" s="2">
        <v>2008</v>
      </c>
      <c r="T105" s="2">
        <v>2009</v>
      </c>
      <c r="U105" s="2">
        <v>2010</v>
      </c>
      <c r="V105" s="2">
        <v>2011</v>
      </c>
      <c r="W105" s="2">
        <v>2012</v>
      </c>
      <c r="X105" s="2">
        <v>2013</v>
      </c>
      <c r="Y105" s="2">
        <v>2014</v>
      </c>
      <c r="Z105"/>
      <c r="AA105"/>
      <c r="AD105" s="4"/>
      <c r="AE105" s="4"/>
    </row>
    <row r="106" spans="1:31" ht="13.5">
      <c r="A106" s="6" t="s">
        <v>51</v>
      </c>
      <c r="B106" s="57">
        <f t="shared" ref="B106:C106" si="101">C25</f>
        <v>0.36730767642793866</v>
      </c>
      <c r="C106" s="57">
        <f t="shared" si="101"/>
        <v>0.14506388495535166</v>
      </c>
      <c r="D106" s="57">
        <f t="shared" ref="D106:Y106" si="102">E25</f>
        <v>0.25607025722157184</v>
      </c>
      <c r="E106" s="57">
        <f t="shared" si="102"/>
        <v>9.6793868101426172E-5</v>
      </c>
      <c r="F106" s="57">
        <f t="shared" si="102"/>
        <v>0.43847705799713982</v>
      </c>
      <c r="G106" s="57">
        <f t="shared" si="102"/>
        <v>0.39618712673626766</v>
      </c>
      <c r="H106" s="57">
        <f t="shared" si="102"/>
        <v>0.50250600588608552</v>
      </c>
      <c r="I106" s="57">
        <f t="shared" si="102"/>
        <v>0.40634806039032956</v>
      </c>
      <c r="J106" s="57">
        <f t="shared" si="102"/>
        <v>0.53061006821623036</v>
      </c>
      <c r="K106" s="57">
        <f t="shared" si="102"/>
        <v>-6.0240530122045652E-2</v>
      </c>
      <c r="L106" s="57">
        <f t="shared" si="102"/>
        <v>-0.15080035915712642</v>
      </c>
      <c r="M106" s="57">
        <f t="shared" si="102"/>
        <v>-0.37500764872862702</v>
      </c>
      <c r="N106" s="57">
        <f t="shared" si="102"/>
        <v>0.30564606338733336</v>
      </c>
      <c r="O106" s="57">
        <f t="shared" si="102"/>
        <v>0.21242789909187759</v>
      </c>
      <c r="P106" s="57">
        <f t="shared" si="102"/>
        <v>-1.5663774429616487E-2</v>
      </c>
      <c r="Q106" s="57">
        <f t="shared" si="102"/>
        <v>8.7025690243995243E-2</v>
      </c>
      <c r="R106" s="57">
        <f t="shared" si="102"/>
        <v>2.7802667236339756E-2</v>
      </c>
      <c r="S106" s="57">
        <f t="shared" si="102"/>
        <v>-0.52270454257343846</v>
      </c>
      <c r="T106" s="57">
        <f t="shared" si="102"/>
        <v>-5.0793162322067273E-3</v>
      </c>
      <c r="U106" s="57">
        <f t="shared" si="102"/>
        <v>0.2386130795505958</v>
      </c>
      <c r="V106" s="57">
        <f t="shared" si="102"/>
        <v>1.2300228259815117E-2</v>
      </c>
      <c r="W106" s="57">
        <f t="shared" si="102"/>
        <v>0.21146022770564868</v>
      </c>
      <c r="X106" s="57">
        <f t="shared" si="102"/>
        <v>0.32472959676012397</v>
      </c>
      <c r="Y106" s="57">
        <f t="shared" si="102"/>
        <v>-7.3648808596077767E-2</v>
      </c>
      <c r="Z106"/>
      <c r="AA106"/>
      <c r="AD106" s="4"/>
      <c r="AE106" s="4"/>
    </row>
    <row r="107" spans="1:31" ht="13.5">
      <c r="A107" s="6" t="s">
        <v>13</v>
      </c>
      <c r="B107" s="82">
        <f t="shared" ref="B107:C107" si="103">C80/B19</f>
        <v>0.20349338403428507</v>
      </c>
      <c r="C107" s="82">
        <f t="shared" si="103"/>
        <v>0.21738310637800412</v>
      </c>
      <c r="D107" s="82">
        <f t="shared" ref="D107:Y107" si="104">E80/D19</f>
        <v>0.18902811206480397</v>
      </c>
      <c r="E107" s="82">
        <f t="shared" si="104"/>
        <v>0.18333085526793849</v>
      </c>
      <c r="F107" s="82">
        <f t="shared" si="104"/>
        <v>0.24876987883035531</v>
      </c>
      <c r="G107" s="82">
        <f t="shared" si="104"/>
        <v>0.24516920866324404</v>
      </c>
      <c r="H107" s="82">
        <f t="shared" si="104"/>
        <v>0.26303650474415469</v>
      </c>
      <c r="I107" s="82">
        <f t="shared" si="104"/>
        <v>0.2694312100513</v>
      </c>
      <c r="J107" s="82">
        <f t="shared" si="104"/>
        <v>0.27510983975736969</v>
      </c>
      <c r="K107" s="82">
        <f t="shared" si="104"/>
        <v>0.29978512125891849</v>
      </c>
      <c r="L107" s="82">
        <f t="shared" si="104"/>
        <v>0.28047614847145202</v>
      </c>
      <c r="M107" s="82">
        <f t="shared" si="104"/>
        <v>0.27612104073194244</v>
      </c>
      <c r="N107" s="82">
        <f t="shared" si="104"/>
        <v>0.24515710809656188</v>
      </c>
      <c r="O107" s="82">
        <f t="shared" si="104"/>
        <v>0.20970427768188704</v>
      </c>
      <c r="P107" s="82">
        <f t="shared" si="104"/>
        <v>0.14832353243005389</v>
      </c>
      <c r="Q107" s="82">
        <f t="shared" si="104"/>
        <v>0.18749545354760996</v>
      </c>
      <c r="R107" s="82">
        <f t="shared" si="104"/>
        <v>0.19916139223593021</v>
      </c>
      <c r="S107" s="82">
        <f t="shared" si="104"/>
        <v>0.15450907265141259</v>
      </c>
      <c r="T107" s="82">
        <f t="shared" si="104"/>
        <v>0.10839492975806415</v>
      </c>
      <c r="U107" s="82">
        <f t="shared" si="104"/>
        <v>0.10711294162194709</v>
      </c>
      <c r="V107" s="82">
        <f t="shared" si="104"/>
        <v>0.10938059173407323</v>
      </c>
      <c r="W107" s="82">
        <f t="shared" si="104"/>
        <v>0.1225590484551676</v>
      </c>
      <c r="X107" s="82">
        <f t="shared" si="104"/>
        <v>0.10545406965333255</v>
      </c>
      <c r="Y107" s="82" t="e">
        <f t="shared" si="104"/>
        <v>#VALUE!</v>
      </c>
      <c r="Z107"/>
      <c r="AA107"/>
      <c r="AD107" s="4"/>
      <c r="AE107" s="4"/>
    </row>
    <row r="108" spans="1:31" ht="13.5">
      <c r="A108" s="6"/>
      <c r="Z108"/>
      <c r="AA108"/>
      <c r="AD108" s="4"/>
      <c r="AE108" s="4"/>
    </row>
    <row r="109" spans="1:31" ht="13.5">
      <c r="A109" s="6"/>
      <c r="B109" s="2">
        <v>1990</v>
      </c>
      <c r="C109" s="2">
        <v>1991</v>
      </c>
      <c r="D109" s="2">
        <v>1992</v>
      </c>
      <c r="E109" s="2">
        <v>1993</v>
      </c>
      <c r="F109" s="2">
        <v>1994</v>
      </c>
      <c r="G109" s="2">
        <v>1995</v>
      </c>
      <c r="H109" s="2">
        <v>1996</v>
      </c>
      <c r="I109" s="2">
        <v>1997</v>
      </c>
      <c r="J109" s="2">
        <v>1998</v>
      </c>
      <c r="K109" s="2">
        <v>1999</v>
      </c>
      <c r="L109" s="2">
        <v>2000</v>
      </c>
      <c r="M109" s="2">
        <v>2001</v>
      </c>
      <c r="N109" s="2">
        <v>2002</v>
      </c>
      <c r="O109" s="2">
        <v>2003</v>
      </c>
      <c r="P109" s="2">
        <v>2004</v>
      </c>
      <c r="Q109" s="2">
        <v>2005</v>
      </c>
      <c r="R109" s="2">
        <v>2006</v>
      </c>
      <c r="S109" s="2">
        <v>2007</v>
      </c>
      <c r="T109" s="2">
        <v>2008</v>
      </c>
      <c r="U109" s="2">
        <v>2009</v>
      </c>
      <c r="V109" s="2">
        <v>2010</v>
      </c>
      <c r="W109" s="2">
        <v>2011</v>
      </c>
      <c r="X109" s="2">
        <v>2012</v>
      </c>
      <c r="Y109" s="2">
        <v>2013</v>
      </c>
      <c r="Z109" s="2">
        <v>2014</v>
      </c>
      <c r="AA109"/>
      <c r="AD109" s="4"/>
      <c r="AE109" s="4"/>
    </row>
    <row r="110" spans="1:31" ht="13.5">
      <c r="A110" s="6" t="s">
        <v>51</v>
      </c>
      <c r="B110">
        <v>1</v>
      </c>
      <c r="C110">
        <f>(1+B106)*B110</f>
        <v>1.3673076764279386</v>
      </c>
      <c r="D110">
        <f t="shared" ref="D110" si="105">(1+C106)*C110</f>
        <v>1.5656546398998501</v>
      </c>
      <c r="E110">
        <f t="shared" ref="E110:X110" si="106">(1+D106)*D110</f>
        <v>1.9665722262591521</v>
      </c>
      <c r="F110">
        <f t="shared" si="106"/>
        <v>1.9667625783918323</v>
      </c>
      <c r="G110">
        <f t="shared" si="106"/>
        <v>2.829142847543952</v>
      </c>
      <c r="H110">
        <f t="shared" si="106"/>
        <v>3.9500128234388523</v>
      </c>
      <c r="I110">
        <f t="shared" si="106"/>
        <v>5.9349179905439291</v>
      </c>
      <c r="J110">
        <f t="shared" si="106"/>
        <v>8.3465604045771276</v>
      </c>
      <c r="K110">
        <f t="shared" si="106"/>
        <v>12.775329390220683</v>
      </c>
      <c r="L110">
        <f t="shared" si="106"/>
        <v>12.005736775270039</v>
      </c>
      <c r="M110">
        <f t="shared" si="106"/>
        <v>10.195267357613396</v>
      </c>
      <c r="N110">
        <f t="shared" si="106"/>
        <v>6.3719641176750743</v>
      </c>
      <c r="O110">
        <f t="shared" si="106"/>
        <v>8.3195298662878052</v>
      </c>
      <c r="P110">
        <f t="shared" si="106"/>
        <v>10.086830117215452</v>
      </c>
      <c r="Q110">
        <f t="shared" si="106"/>
        <v>9.928832285549527</v>
      </c>
      <c r="R110">
        <f t="shared" si="106"/>
        <v>10.792895768516338</v>
      </c>
      <c r="S110">
        <f t="shared" si="106"/>
        <v>11.092967058084898</v>
      </c>
      <c r="T110">
        <f t="shared" si="106"/>
        <v>5.2946227862064106</v>
      </c>
      <c r="U110">
        <f t="shared" si="106"/>
        <v>5.2677297227450213</v>
      </c>
      <c r="V110">
        <f t="shared" si="106"/>
        <v>6.5246789341294171</v>
      </c>
      <c r="W110">
        <f t="shared" si="106"/>
        <v>6.6049339743412157</v>
      </c>
      <c r="X110">
        <f t="shared" si="106"/>
        <v>8.0016148165361844</v>
      </c>
      <c r="Y110">
        <f t="shared" ref="Y110:Y111" si="107">(1+X106)*X110</f>
        <v>10.599975969339813</v>
      </c>
      <c r="Z110">
        <f>(1+Y106)*Y110</f>
        <v>9.8193003680508806</v>
      </c>
      <c r="AA110"/>
      <c r="AD110" s="4"/>
      <c r="AE110" s="4"/>
    </row>
    <row r="111" spans="1:31" ht="13.5">
      <c r="A111" s="6" t="s">
        <v>13</v>
      </c>
      <c r="B111">
        <v>1</v>
      </c>
      <c r="C111">
        <f>(1+B107)*B111</f>
        <v>1.2034933840342852</v>
      </c>
      <c r="D111">
        <f t="shared" ref="D111" si="108">(1+C107)*C111</f>
        <v>1.4651125143610344</v>
      </c>
      <c r="E111">
        <f t="shared" ref="E111:X111" si="109">(1+D107)*D111</f>
        <v>1.7420599669132188</v>
      </c>
      <c r="F111">
        <f t="shared" si="109"/>
        <v>2.0614333105754556</v>
      </c>
      <c r="G111">
        <f t="shared" si="109"/>
        <v>2.5742558254641703</v>
      </c>
      <c r="H111">
        <f t="shared" si="109"/>
        <v>3.205384089089967</v>
      </c>
      <c r="I111">
        <f t="shared" si="109"/>
        <v>4.0485171162467184</v>
      </c>
      <c r="J111">
        <f t="shared" si="109"/>
        <v>5.1393139817904707</v>
      </c>
      <c r="K111">
        <f t="shared" si="109"/>
        <v>6.5531898277836564</v>
      </c>
      <c r="L111">
        <f t="shared" si="109"/>
        <v>8.5177386349384907</v>
      </c>
      <c r="M111">
        <f t="shared" si="109"/>
        <v>10.906761160952522</v>
      </c>
      <c r="N111">
        <f t="shared" si="109"/>
        <v>13.918347403729463</v>
      </c>
      <c r="O111">
        <f t="shared" si="109"/>
        <v>17.330529202711066</v>
      </c>
      <c r="P111">
        <f t="shared" si="109"/>
        <v>20.96481531101044</v>
      </c>
      <c r="Q111">
        <f t="shared" si="109"/>
        <v>24.074390774683184</v>
      </c>
      <c r="R111">
        <f t="shared" si="109"/>
        <v>28.588229591864803</v>
      </c>
      <c r="S111">
        <f t="shared" si="109"/>
        <v>34.281901198941014</v>
      </c>
      <c r="T111">
        <f t="shared" si="109"/>
        <v>39.578765961916744</v>
      </c>
      <c r="U111">
        <f t="shared" si="109"/>
        <v>43.868903518269569</v>
      </c>
      <c r="V111">
        <f t="shared" si="109"/>
        <v>48.567830819840808</v>
      </c>
      <c r="W111">
        <f t="shared" si="109"/>
        <v>53.880208894155359</v>
      </c>
      <c r="X111">
        <f t="shared" si="109"/>
        <v>60.483716026788692</v>
      </c>
      <c r="Y111">
        <f t="shared" si="107"/>
        <v>66.86197002957006</v>
      </c>
      <c r="Z111" t="e">
        <f>(1+Y107)*Y111</f>
        <v>#VALUE!</v>
      </c>
      <c r="AA111"/>
      <c r="AD111" s="4"/>
      <c r="AE111" s="4"/>
    </row>
    <row r="112" spans="1:31" ht="13.5">
      <c r="A112" s="6"/>
      <c r="Z112"/>
      <c r="AA112"/>
      <c r="AD112" s="4"/>
      <c r="AE112" s="4"/>
    </row>
    <row r="113" spans="1:31" ht="13.5">
      <c r="A113" s="6" t="s">
        <v>76</v>
      </c>
      <c r="B113">
        <f>B110</f>
        <v>1</v>
      </c>
      <c r="C113">
        <f t="shared" ref="C113:X113" si="110">C11/B11*B113</f>
        <v>1.3333333333333335</v>
      </c>
      <c r="D113">
        <f t="shared" si="110"/>
        <v>1.4901899263721554</v>
      </c>
      <c r="E113">
        <f t="shared" si="110"/>
        <v>1.8278739959839354</v>
      </c>
      <c r="F113">
        <f t="shared" si="110"/>
        <v>1.7777568607764389</v>
      </c>
      <c r="G113">
        <f t="shared" si="110"/>
        <v>2.5097891566265056</v>
      </c>
      <c r="H113">
        <f t="shared" si="110"/>
        <v>3.4465988955823286</v>
      </c>
      <c r="I113">
        <f t="shared" si="110"/>
        <v>5.1154409303882193</v>
      </c>
      <c r="J113">
        <f t="shared" si="110"/>
        <v>7.1110692771084336</v>
      </c>
      <c r="K113">
        <f t="shared" si="110"/>
        <v>10.788612784471219</v>
      </c>
      <c r="L113">
        <f t="shared" si="110"/>
        <v>10.027087516733602</v>
      </c>
      <c r="M113">
        <f t="shared" si="110"/>
        <v>8.3835341365461868</v>
      </c>
      <c r="N113">
        <f t="shared" si="110"/>
        <v>5.0932898259705492</v>
      </c>
      <c r="O113">
        <f t="shared" si="110"/>
        <v>6.4800870147255694</v>
      </c>
      <c r="P113">
        <f t="shared" si="110"/>
        <v>7.6347054886211518</v>
      </c>
      <c r="Q113">
        <f t="shared" si="110"/>
        <v>7.3314089692101758</v>
      </c>
      <c r="R113">
        <f t="shared" si="110"/>
        <v>7.7832161981258379</v>
      </c>
      <c r="S113">
        <f t="shared" si="110"/>
        <v>7.7539323962516749</v>
      </c>
      <c r="T113">
        <f t="shared" si="110"/>
        <v>3.3885542168674703</v>
      </c>
      <c r="U113">
        <f t="shared" si="110"/>
        <v>3.164742302543508</v>
      </c>
      <c r="V113">
        <f t="shared" si="110"/>
        <v>3.8257195448460517</v>
      </c>
      <c r="W113">
        <f t="shared" si="110"/>
        <v>3.7462349397590371</v>
      </c>
      <c r="X113">
        <f t="shared" si="110"/>
        <v>4.3904785809906306</v>
      </c>
      <c r="Y113">
        <f t="shared" ref="Y113" si="111">Y11/X11*X113</f>
        <v>5.8630354752342724</v>
      </c>
      <c r="Z113">
        <f t="shared" ref="Z113" si="112">Z11/Y11*Y113</f>
        <v>5.2857262382864807</v>
      </c>
      <c r="AA113"/>
      <c r="AD113" s="4"/>
      <c r="AE113" s="4"/>
    </row>
    <row r="114" spans="1:31" ht="13.5">
      <c r="A114" s="6" t="s">
        <v>77</v>
      </c>
      <c r="B114">
        <f>B110</f>
        <v>1</v>
      </c>
      <c r="C114">
        <f t="shared" ref="C114:X114" si="113">C110</f>
        <v>1.3673076764279386</v>
      </c>
      <c r="D114">
        <f t="shared" si="113"/>
        <v>1.5656546398998501</v>
      </c>
      <c r="E114">
        <f t="shared" si="113"/>
        <v>1.9665722262591521</v>
      </c>
      <c r="F114">
        <f t="shared" si="113"/>
        <v>1.9667625783918323</v>
      </c>
      <c r="G114">
        <f t="shared" si="113"/>
        <v>2.829142847543952</v>
      </c>
      <c r="H114">
        <f t="shared" si="113"/>
        <v>3.9500128234388523</v>
      </c>
      <c r="I114">
        <f t="shared" si="113"/>
        <v>5.9349179905439291</v>
      </c>
      <c r="J114">
        <f t="shared" si="113"/>
        <v>8.3465604045771276</v>
      </c>
      <c r="K114">
        <f t="shared" si="113"/>
        <v>12.775329390220683</v>
      </c>
      <c r="L114">
        <f t="shared" si="113"/>
        <v>12.005736775270039</v>
      </c>
      <c r="M114">
        <f t="shared" si="113"/>
        <v>10.195267357613396</v>
      </c>
      <c r="N114">
        <f t="shared" si="113"/>
        <v>6.3719641176750743</v>
      </c>
      <c r="O114">
        <f t="shared" si="113"/>
        <v>8.3195298662878052</v>
      </c>
      <c r="P114">
        <f t="shared" si="113"/>
        <v>10.086830117215452</v>
      </c>
      <c r="Q114">
        <f t="shared" si="113"/>
        <v>9.928832285549527</v>
      </c>
      <c r="R114">
        <f t="shared" si="113"/>
        <v>10.792895768516338</v>
      </c>
      <c r="S114">
        <f t="shared" si="113"/>
        <v>11.092967058084898</v>
      </c>
      <c r="T114">
        <f t="shared" si="113"/>
        <v>5.2946227862064106</v>
      </c>
      <c r="U114">
        <f t="shared" si="113"/>
        <v>5.2677297227450213</v>
      </c>
      <c r="V114">
        <f t="shared" si="113"/>
        <v>6.5246789341294171</v>
      </c>
      <c r="W114">
        <f t="shared" si="113"/>
        <v>6.6049339743412157</v>
      </c>
      <c r="X114" s="79">
        <f t="shared" si="113"/>
        <v>8.0016148165361844</v>
      </c>
      <c r="Y114">
        <f t="shared" ref="Y114:Z114" si="114">Y110</f>
        <v>10.599975969339813</v>
      </c>
      <c r="Z114">
        <f t="shared" si="114"/>
        <v>9.8193003680508806</v>
      </c>
      <c r="AA114"/>
      <c r="AD114" s="4"/>
      <c r="AE114" s="4"/>
    </row>
    <row r="115" spans="1:31" ht="13.5">
      <c r="A115" s="6" t="s">
        <v>80</v>
      </c>
      <c r="B115">
        <v>1</v>
      </c>
      <c r="C115">
        <f t="shared" ref="C115:X115" si="115">B115*C6/B6</f>
        <v>1.3737201090023705</v>
      </c>
      <c r="D115">
        <f t="shared" si="115"/>
        <v>1.581098730993115</v>
      </c>
      <c r="E115">
        <f t="shared" si="115"/>
        <v>1.9929212957737399</v>
      </c>
      <c r="F115">
        <f t="shared" si="115"/>
        <v>1.9970491961881423</v>
      </c>
      <c r="G115">
        <f t="shared" si="115"/>
        <v>2.8983343276843452</v>
      </c>
      <c r="H115">
        <f t="shared" si="115"/>
        <v>4.0657884128545403</v>
      </c>
      <c r="I115">
        <f t="shared" si="115"/>
        <v>6.1372204395568968</v>
      </c>
      <c r="J115">
        <f t="shared" si="115"/>
        <v>8.6530306206362795</v>
      </c>
      <c r="K115">
        <f t="shared" si="115"/>
        <v>13.287679184739673</v>
      </c>
      <c r="L115">
        <f t="shared" si="115"/>
        <v>12.491365270812846</v>
      </c>
      <c r="M115">
        <f t="shared" si="115"/>
        <v>10.609397423287167</v>
      </c>
      <c r="N115">
        <f t="shared" si="115"/>
        <v>6.6089136849573515</v>
      </c>
      <c r="O115">
        <f t="shared" si="115"/>
        <v>8.6410500346679164</v>
      </c>
      <c r="P115">
        <f t="shared" si="115"/>
        <v>10.428189044939295</v>
      </c>
      <c r="Q115">
        <f t="shared" si="115"/>
        <v>10.278875147137081</v>
      </c>
      <c r="R115">
        <f t="shared" si="115"/>
        <v>11.240159956141063</v>
      </c>
      <c r="S115">
        <f t="shared" si="115"/>
        <v>11.542222293887164</v>
      </c>
      <c r="T115">
        <f t="shared" si="115"/>
        <v>5.3116726058983836</v>
      </c>
      <c r="U115">
        <f t="shared" si="115"/>
        <v>5.2210522921134546</v>
      </c>
      <c r="V115">
        <f t="shared" si="115"/>
        <v>6.4882209716690609</v>
      </c>
      <c r="W115">
        <f t="shared" si="115"/>
        <v>6.5701339955173603</v>
      </c>
      <c r="X115" s="79">
        <f t="shared" si="115"/>
        <v>7.9660415692471451</v>
      </c>
      <c r="Y115">
        <f t="shared" ref="Y115" si="116">X115*Y6/X6</f>
        <v>10.984133382782144</v>
      </c>
      <c r="Z115">
        <f t="shared" ref="Z115" si="117">Y115*Z6/Y6</f>
        <v>10.2483351339149</v>
      </c>
      <c r="AA115"/>
      <c r="AD115" s="4"/>
      <c r="AE115" s="4"/>
    </row>
    <row r="116" spans="1:31">
      <c r="Z116"/>
      <c r="AA116"/>
      <c r="AD116" s="4"/>
      <c r="AE116" s="4"/>
    </row>
    <row r="153" spans="1:31">
      <c r="W153" t="s">
        <v>85</v>
      </c>
    </row>
    <row r="154" spans="1:31">
      <c r="A154" s="8" t="s">
        <v>11</v>
      </c>
      <c r="C154" t="s">
        <v>82</v>
      </c>
      <c r="W154" t="s">
        <v>83</v>
      </c>
      <c r="Z154"/>
      <c r="AA154" s="4" t="s">
        <v>84</v>
      </c>
      <c r="AD154" s="4"/>
    </row>
    <row r="155" spans="1:31">
      <c r="A155" s="8" t="s">
        <v>81</v>
      </c>
      <c r="B155" s="2">
        <v>1991</v>
      </c>
      <c r="C155" s="2">
        <v>1992</v>
      </c>
      <c r="D155" s="2">
        <v>1993</v>
      </c>
      <c r="E155" s="2">
        <v>1994</v>
      </c>
      <c r="F155" s="2">
        <v>1995</v>
      </c>
      <c r="G155" s="2">
        <v>1996</v>
      </c>
      <c r="H155" s="2">
        <v>1997</v>
      </c>
      <c r="I155" s="2">
        <v>1998</v>
      </c>
      <c r="J155" s="2">
        <v>1999</v>
      </c>
      <c r="K155" s="2">
        <v>2000</v>
      </c>
      <c r="L155" s="3" t="s">
        <v>1</v>
      </c>
      <c r="M155" s="3" t="s">
        <v>2</v>
      </c>
      <c r="N155" s="3" t="s">
        <v>4</v>
      </c>
      <c r="O155" s="3" t="s">
        <v>5</v>
      </c>
      <c r="P155" s="3">
        <v>2005</v>
      </c>
      <c r="Q155" s="3">
        <v>2006</v>
      </c>
      <c r="R155" s="3">
        <v>2007</v>
      </c>
      <c r="S155" s="3">
        <v>2008</v>
      </c>
      <c r="T155" s="3">
        <v>2009</v>
      </c>
      <c r="U155" s="3">
        <v>2010</v>
      </c>
      <c r="V155" s="3">
        <v>2011</v>
      </c>
      <c r="W155" s="3">
        <v>2012</v>
      </c>
      <c r="Z155"/>
      <c r="AB155" t="s">
        <v>81</v>
      </c>
      <c r="AD155" s="4"/>
    </row>
    <row r="156" spans="1:31">
      <c r="A156" s="2">
        <v>1990</v>
      </c>
      <c r="B156" s="80">
        <f t="shared" ref="B156:W156" si="118">(C$6/$B$6)^(1/(B$155-$A156))-1</f>
        <v>0.37372010900237052</v>
      </c>
      <c r="C156" s="80">
        <f t="shared" si="118"/>
        <v>0.25741748476514958</v>
      </c>
      <c r="D156" s="80">
        <f t="shared" si="118"/>
        <v>0.25843285802303417</v>
      </c>
      <c r="E156" s="80">
        <f t="shared" si="118"/>
        <v>0.18876823249398966</v>
      </c>
      <c r="F156" s="80">
        <f t="shared" si="118"/>
        <v>0.2371708996837345</v>
      </c>
      <c r="G156" s="80">
        <f t="shared" si="118"/>
        <v>0.26335129240503696</v>
      </c>
      <c r="H156" s="80">
        <f t="shared" si="118"/>
        <v>0.29588776330090094</v>
      </c>
      <c r="I156" s="80">
        <f t="shared" si="118"/>
        <v>0.30962220507023464</v>
      </c>
      <c r="J156" s="80">
        <f t="shared" si="118"/>
        <v>0.33299242532587381</v>
      </c>
      <c r="K156" s="80">
        <f t="shared" si="118"/>
        <v>0.28724433969548735</v>
      </c>
      <c r="L156" s="80">
        <f t="shared" si="118"/>
        <v>0.239494519203161</v>
      </c>
      <c r="M156" s="80">
        <f t="shared" si="118"/>
        <v>0.17042657301354591</v>
      </c>
      <c r="N156" s="80">
        <f t="shared" si="118"/>
        <v>0.18043907861472364</v>
      </c>
      <c r="O156" s="80">
        <f t="shared" si="118"/>
        <v>0.18230413046348537</v>
      </c>
      <c r="P156" s="80">
        <f t="shared" si="118"/>
        <v>0.1680543184384069</v>
      </c>
      <c r="Q156" s="80">
        <f t="shared" si="118"/>
        <v>0.16325058798345538</v>
      </c>
      <c r="R156" s="80">
        <f t="shared" si="118"/>
        <v>0.154749050393864</v>
      </c>
      <c r="S156" s="80">
        <f t="shared" si="118"/>
        <v>9.7212199461901294E-2</v>
      </c>
      <c r="T156" s="80">
        <f t="shared" si="118"/>
        <v>9.0879396038771043E-2</v>
      </c>
      <c r="U156" s="80">
        <f t="shared" si="118"/>
        <v>9.8009965109195241E-2</v>
      </c>
      <c r="V156" s="80">
        <f t="shared" si="118"/>
        <v>9.3785359678901781E-2</v>
      </c>
      <c r="W156" s="81">
        <f t="shared" si="118"/>
        <v>9.891871915786421E-2</v>
      </c>
      <c r="Z156"/>
      <c r="AA156" s="82">
        <f t="shared" ref="AA156:AA177" si="119">AA39</f>
        <v>0.12164829373391584</v>
      </c>
      <c r="AB156" s="2">
        <v>1990</v>
      </c>
      <c r="AD156" s="4"/>
      <c r="AE156" s="4"/>
    </row>
    <row r="157" spans="1:31">
      <c r="A157" s="2">
        <v>1991</v>
      </c>
      <c r="B157" s="80"/>
      <c r="C157" s="80">
        <f t="shared" ref="C157:W157" si="120">(D$6/$C$6)^(1/(C$155-$A157))-1</f>
        <v>0.1509613353053032</v>
      </c>
      <c r="D157" s="80">
        <f t="shared" si="120"/>
        <v>0.20446988556686541</v>
      </c>
      <c r="E157" s="80">
        <f t="shared" si="120"/>
        <v>0.13282676818917771</v>
      </c>
      <c r="F157" s="80">
        <f t="shared" si="120"/>
        <v>0.20520952753772725</v>
      </c>
      <c r="G157" s="80">
        <f t="shared" si="120"/>
        <v>0.24236527382068274</v>
      </c>
      <c r="H157" s="80">
        <f t="shared" si="120"/>
        <v>0.28335136791232429</v>
      </c>
      <c r="I157" s="80">
        <f t="shared" si="120"/>
        <v>0.30071283702935747</v>
      </c>
      <c r="J157" s="80">
        <f t="shared" si="120"/>
        <v>0.32798711058470897</v>
      </c>
      <c r="K157" s="80">
        <f t="shared" si="120"/>
        <v>0.27797840991547407</v>
      </c>
      <c r="L157" s="80">
        <f t="shared" si="120"/>
        <v>0.22681547708026839</v>
      </c>
      <c r="M157" s="80">
        <f t="shared" si="120"/>
        <v>0.15350923258974003</v>
      </c>
      <c r="N157" s="80">
        <f t="shared" si="120"/>
        <v>0.16561650585060006</v>
      </c>
      <c r="O157" s="80">
        <f t="shared" si="120"/>
        <v>0.16873541189885932</v>
      </c>
      <c r="P157" s="80">
        <f t="shared" si="120"/>
        <v>0.15460106171445265</v>
      </c>
      <c r="Q157" s="80">
        <f t="shared" si="120"/>
        <v>0.15042492466438562</v>
      </c>
      <c r="R157" s="80">
        <f t="shared" si="120"/>
        <v>0.14228493371437945</v>
      </c>
      <c r="S157" s="80">
        <f t="shared" si="120"/>
        <v>8.2801883478216487E-2</v>
      </c>
      <c r="T157" s="80">
        <f t="shared" si="120"/>
        <v>7.6996848891580649E-2</v>
      </c>
      <c r="U157" s="80">
        <f t="shared" si="120"/>
        <v>8.5139697265202097E-2</v>
      </c>
      <c r="V157" s="80">
        <f t="shared" si="120"/>
        <v>8.1393608956679797E-2</v>
      </c>
      <c r="W157" s="81">
        <f t="shared" si="120"/>
        <v>8.7300854090834878E-2</v>
      </c>
      <c r="Z157"/>
      <c r="AA157" s="82">
        <f t="shared" si="119"/>
        <v>0.10528199318718934</v>
      </c>
      <c r="AB157" s="2">
        <v>1991</v>
      </c>
      <c r="AD157" s="4"/>
      <c r="AE157" s="4"/>
    </row>
    <row r="158" spans="1:31">
      <c r="A158" s="2">
        <v>1992</v>
      </c>
      <c r="B158" s="80"/>
      <c r="C158" s="80"/>
      <c r="D158" s="80">
        <f t="shared" ref="D158:W158" si="121">(E$6/$D$6)^(1/(D$155-$A158))-1</f>
        <v>0.26046606496354086</v>
      </c>
      <c r="E158" s="80">
        <f t="shared" si="121"/>
        <v>0.12386691588818244</v>
      </c>
      <c r="F158" s="80">
        <f t="shared" si="121"/>
        <v>0.22385461588505939</v>
      </c>
      <c r="G158" s="80">
        <f t="shared" si="121"/>
        <v>0.26632868869151882</v>
      </c>
      <c r="H158" s="80">
        <f t="shared" si="121"/>
        <v>0.311603438457007</v>
      </c>
      <c r="I158" s="80">
        <f t="shared" si="121"/>
        <v>0.32750105554472952</v>
      </c>
      <c r="J158" s="80">
        <f t="shared" si="121"/>
        <v>0.35540792485825645</v>
      </c>
      <c r="K158" s="80">
        <f t="shared" si="121"/>
        <v>0.29481095372947963</v>
      </c>
      <c r="L158" s="80">
        <f t="shared" si="121"/>
        <v>0.23554646047685046</v>
      </c>
      <c r="M158" s="80">
        <f t="shared" si="121"/>
        <v>0.15376433232951858</v>
      </c>
      <c r="N158" s="80">
        <f t="shared" si="121"/>
        <v>0.16695801168690294</v>
      </c>
      <c r="O158" s="80">
        <f t="shared" si="121"/>
        <v>0.17022891671209206</v>
      </c>
      <c r="P158" s="80">
        <f t="shared" si="121"/>
        <v>0.15488151695294183</v>
      </c>
      <c r="Q158" s="80">
        <f t="shared" si="121"/>
        <v>0.1503866191861809</v>
      </c>
      <c r="R158" s="80">
        <f t="shared" si="121"/>
        <v>0.14170883796751865</v>
      </c>
      <c r="S158" s="80">
        <f t="shared" si="121"/>
        <v>7.8678491896304381E-2</v>
      </c>
      <c r="T158" s="80">
        <f t="shared" si="121"/>
        <v>7.2797101211965254E-2</v>
      </c>
      <c r="U158" s="80">
        <f t="shared" si="121"/>
        <v>8.1595354929162811E-2</v>
      </c>
      <c r="V158" s="80">
        <f t="shared" si="121"/>
        <v>7.7850919809906882E-2</v>
      </c>
      <c r="W158" s="81">
        <f t="shared" si="121"/>
        <v>8.4211923092871954E-2</v>
      </c>
      <c r="Z158"/>
      <c r="AA158" s="82">
        <f t="shared" si="119"/>
        <v>0.10238919756620923</v>
      </c>
      <c r="AB158" s="2">
        <v>1992</v>
      </c>
      <c r="AD158" s="4"/>
      <c r="AE158" s="4"/>
    </row>
    <row r="159" spans="1:31">
      <c r="A159" s="2">
        <v>1993</v>
      </c>
      <c r="B159" s="80"/>
      <c r="C159" s="80"/>
      <c r="D159" s="80"/>
      <c r="E159" s="80">
        <f t="shared" ref="E159:W159" si="122">(F$6/$E$6)^(1/(E$155-$A159))-1</f>
        <v>2.0712812006957737E-3</v>
      </c>
      <c r="F159" s="80">
        <f t="shared" si="122"/>
        <v>0.20594962370860825</v>
      </c>
      <c r="G159" s="80">
        <f t="shared" si="122"/>
        <v>0.2682889498998311</v>
      </c>
      <c r="H159" s="80">
        <f t="shared" si="122"/>
        <v>0.32470871574868099</v>
      </c>
      <c r="I159" s="80">
        <f t="shared" si="122"/>
        <v>0.3413299396518179</v>
      </c>
      <c r="J159" s="80">
        <f t="shared" si="122"/>
        <v>0.37191276709034171</v>
      </c>
      <c r="K159" s="80">
        <f t="shared" si="122"/>
        <v>0.29979317268986305</v>
      </c>
      <c r="L159" s="80">
        <f t="shared" si="122"/>
        <v>0.23246635199725518</v>
      </c>
      <c r="M159" s="80">
        <f t="shared" si="122"/>
        <v>0.14248072389982736</v>
      </c>
      <c r="N159" s="80">
        <f t="shared" si="122"/>
        <v>0.15799754105818709</v>
      </c>
      <c r="O159" s="80">
        <f t="shared" si="122"/>
        <v>0.1623530725727671</v>
      </c>
      <c r="P159" s="80">
        <f t="shared" si="122"/>
        <v>0.1464926817842882</v>
      </c>
      <c r="Q159" s="80">
        <f t="shared" si="122"/>
        <v>0.14232833522288146</v>
      </c>
      <c r="R159" s="80">
        <f t="shared" si="122"/>
        <v>0.13366741347374633</v>
      </c>
      <c r="S159" s="80">
        <f t="shared" si="122"/>
        <v>6.7536525878771458E-2</v>
      </c>
      <c r="T159" s="80">
        <f t="shared" si="122"/>
        <v>6.2042126052357593E-2</v>
      </c>
      <c r="U159" s="80">
        <f t="shared" si="122"/>
        <v>7.1901869803149054E-2</v>
      </c>
      <c r="V159" s="80">
        <f t="shared" si="122"/>
        <v>6.8519491590687043E-2</v>
      </c>
      <c r="W159" s="81">
        <f t="shared" si="122"/>
        <v>7.5650491554128951E-2</v>
      </c>
      <c r="Z159"/>
      <c r="AA159" s="82">
        <f t="shared" si="119"/>
        <v>9.1632989861837988E-2</v>
      </c>
      <c r="AB159" s="2">
        <v>1993</v>
      </c>
      <c r="AD159" s="4"/>
      <c r="AE159" s="4"/>
    </row>
    <row r="160" spans="1:31">
      <c r="A160" s="2">
        <v>1994</v>
      </c>
      <c r="B160" s="80"/>
      <c r="C160" s="80"/>
      <c r="D160" s="80"/>
      <c r="E160" s="80"/>
      <c r="F160" s="80">
        <f t="shared" ref="F160:W160" si="123">(G$6/$F$6)^(1/(F$155-$A160))-1</f>
        <v>0.45130842706154972</v>
      </c>
      <c r="G160" s="80">
        <f t="shared" si="123"/>
        <v>0.42684896684219886</v>
      </c>
      <c r="H160" s="80">
        <f t="shared" si="123"/>
        <v>0.45387695609907519</v>
      </c>
      <c r="I160" s="80">
        <f t="shared" si="123"/>
        <v>0.44276257821492182</v>
      </c>
      <c r="J160" s="80">
        <f t="shared" si="123"/>
        <v>0.46087169353383817</v>
      </c>
      <c r="K160" s="80">
        <f t="shared" si="123"/>
        <v>0.35738649537918765</v>
      </c>
      <c r="L160" s="80">
        <f t="shared" si="123"/>
        <v>0.26944697471210777</v>
      </c>
      <c r="M160" s="80">
        <f t="shared" si="123"/>
        <v>0.16136214120583348</v>
      </c>
      <c r="N160" s="80">
        <f t="shared" si="123"/>
        <v>0.17675598919588675</v>
      </c>
      <c r="O160" s="80">
        <f t="shared" si="123"/>
        <v>0.17972834223937428</v>
      </c>
      <c r="P160" s="80">
        <f t="shared" si="123"/>
        <v>0.16061180682912313</v>
      </c>
      <c r="Q160" s="80">
        <f t="shared" si="123"/>
        <v>0.15486701503472089</v>
      </c>
      <c r="R160" s="80">
        <f t="shared" si="123"/>
        <v>0.14447877774682838</v>
      </c>
      <c r="S160" s="80">
        <f t="shared" si="123"/>
        <v>7.2373060490404706E-2</v>
      </c>
      <c r="T160" s="80">
        <f t="shared" si="123"/>
        <v>6.6165484098692051E-2</v>
      </c>
      <c r="U160" s="80">
        <f t="shared" si="123"/>
        <v>7.6424451218032985E-2</v>
      </c>
      <c r="V160" s="80">
        <f t="shared" si="123"/>
        <v>7.2562662152599877E-2</v>
      </c>
      <c r="W160" s="81">
        <f t="shared" si="123"/>
        <v>7.9893101697888769E-2</v>
      </c>
      <c r="Z160"/>
      <c r="AA160" s="82">
        <f t="shared" si="119"/>
        <v>9.9169204381073683E-2</v>
      </c>
      <c r="AB160" s="2">
        <v>1994</v>
      </c>
      <c r="AD160" s="4"/>
      <c r="AE160" s="4"/>
    </row>
    <row r="161" spans="1:31">
      <c r="A161" s="2">
        <v>1995</v>
      </c>
      <c r="B161" s="80"/>
      <c r="C161" s="80"/>
      <c r="D161" s="80"/>
      <c r="E161" s="80"/>
      <c r="F161" s="80"/>
      <c r="G161" s="80">
        <f t="shared" ref="G161:W161" si="124">(H$6/$G$6)^(1/(G$155-$A161))-1</f>
        <v>0.40280173133199071</v>
      </c>
      <c r="H161" s="80">
        <f t="shared" si="124"/>
        <v>0.45516292478610398</v>
      </c>
      <c r="I161" s="80">
        <f t="shared" si="124"/>
        <v>0.43992515908268404</v>
      </c>
      <c r="J161" s="80">
        <f t="shared" si="124"/>
        <v>0.46327234027273234</v>
      </c>
      <c r="K161" s="80">
        <f t="shared" si="124"/>
        <v>0.33934445960672011</v>
      </c>
      <c r="L161" s="80">
        <f t="shared" si="124"/>
        <v>0.24143420218583511</v>
      </c>
      <c r="M161" s="80">
        <f t="shared" si="124"/>
        <v>0.12496815400958283</v>
      </c>
      <c r="N161" s="80">
        <f t="shared" si="124"/>
        <v>0.14631045887405714</v>
      </c>
      <c r="O161" s="80">
        <f t="shared" si="124"/>
        <v>0.15288102303421458</v>
      </c>
      <c r="P161" s="80">
        <f t="shared" si="124"/>
        <v>0.13495779251907636</v>
      </c>
      <c r="Q161" s="80">
        <f t="shared" si="124"/>
        <v>0.13112675155273945</v>
      </c>
      <c r="R161" s="80">
        <f t="shared" si="124"/>
        <v>0.12204880135230511</v>
      </c>
      <c r="S161" s="80">
        <f t="shared" si="124"/>
        <v>4.7700472693004148E-2</v>
      </c>
      <c r="T161" s="80">
        <f t="shared" si="124"/>
        <v>4.2936401559516613E-2</v>
      </c>
      <c r="U161" s="80">
        <f t="shared" si="124"/>
        <v>5.5192777970170859E-2</v>
      </c>
      <c r="V161" s="80">
        <f t="shared" si="124"/>
        <v>5.2480623649357794E-2</v>
      </c>
      <c r="W161" s="81">
        <f t="shared" si="124"/>
        <v>6.1277761659702223E-2</v>
      </c>
      <c r="Z161"/>
      <c r="AA161" s="82">
        <f t="shared" si="119"/>
        <v>7.540708015809261E-2</v>
      </c>
      <c r="AB161" s="2">
        <v>1995</v>
      </c>
      <c r="AD161" s="4"/>
      <c r="AE161" s="4"/>
    </row>
    <row r="162" spans="1:31">
      <c r="A162" s="2">
        <v>1996</v>
      </c>
      <c r="B162" s="80"/>
      <c r="C162" s="80"/>
      <c r="D162" s="80"/>
      <c r="E162" s="80"/>
      <c r="F162" s="80"/>
      <c r="G162" s="80"/>
      <c r="H162" s="80">
        <f t="shared" ref="H162:W162" si="125">(I$6/$H$6)^(1/(H$155-$A162))-1</f>
        <v>0.50947856021066995</v>
      </c>
      <c r="I162" s="80">
        <f t="shared" si="125"/>
        <v>0.45885367370320762</v>
      </c>
      <c r="J162" s="80">
        <f t="shared" si="125"/>
        <v>0.48400302679774132</v>
      </c>
      <c r="K162" s="80">
        <f t="shared" si="125"/>
        <v>0.32393384187654095</v>
      </c>
      <c r="L162" s="80">
        <f t="shared" si="125"/>
        <v>0.21146030601377075</v>
      </c>
      <c r="M162" s="80">
        <f t="shared" si="125"/>
        <v>8.4336851556436887E-2</v>
      </c>
      <c r="N162" s="80">
        <f t="shared" si="125"/>
        <v>0.11371619548080147</v>
      </c>
      <c r="O162" s="80">
        <f t="shared" si="125"/>
        <v>0.12494946944667995</v>
      </c>
      <c r="P162" s="80">
        <f t="shared" si="125"/>
        <v>0.10855091903208769</v>
      </c>
      <c r="Q162" s="80">
        <f t="shared" si="125"/>
        <v>0.10703861973881712</v>
      </c>
      <c r="R162" s="80">
        <f t="shared" si="125"/>
        <v>9.9499330188048019E-2</v>
      </c>
      <c r="S162" s="80">
        <f t="shared" si="125"/>
        <v>2.2524863619844293E-2</v>
      </c>
      <c r="T162" s="80">
        <f t="shared" si="125"/>
        <v>1.942403055246289E-2</v>
      </c>
      <c r="U162" s="80">
        <f t="shared" si="125"/>
        <v>3.3947845901062701E-2</v>
      </c>
      <c r="V162" s="80">
        <f t="shared" si="125"/>
        <v>3.2512449536961308E-2</v>
      </c>
      <c r="W162" s="81">
        <f t="shared" si="125"/>
        <v>4.2932286145838994E-2</v>
      </c>
      <c r="Z162"/>
      <c r="AA162" s="82">
        <f t="shared" si="119"/>
        <v>5.3179840898946118E-2</v>
      </c>
      <c r="AB162" s="2">
        <v>1996</v>
      </c>
      <c r="AD162" s="4"/>
      <c r="AE162" s="4"/>
    </row>
    <row r="163" spans="1:31">
      <c r="A163" s="2">
        <v>1997</v>
      </c>
      <c r="B163" s="80"/>
      <c r="C163" s="80"/>
      <c r="D163" s="80"/>
      <c r="E163" s="80"/>
      <c r="F163" s="80"/>
      <c r="G163" s="80"/>
      <c r="H163" s="80"/>
      <c r="I163" s="80">
        <f t="shared" ref="I163:W163" si="126">(J$6/$I$6)^(1/(I$155-$A163))-1</f>
        <v>0.40992664445682236</v>
      </c>
      <c r="J163" s="80">
        <f t="shared" si="126"/>
        <v>0.47142694837553756</v>
      </c>
      <c r="K163" s="80">
        <f t="shared" si="126"/>
        <v>0.26729988401593152</v>
      </c>
      <c r="L163" s="80">
        <f t="shared" si="126"/>
        <v>0.14664702567986732</v>
      </c>
      <c r="M163" s="80">
        <f t="shared" si="126"/>
        <v>1.4919674289504803E-2</v>
      </c>
      <c r="N163" s="80">
        <f t="shared" si="126"/>
        <v>5.86826590768732E-2</v>
      </c>
      <c r="O163" s="80">
        <f t="shared" si="126"/>
        <v>7.8676021564102028E-2</v>
      </c>
      <c r="P163" s="80">
        <f t="shared" si="126"/>
        <v>6.6588099018286329E-2</v>
      </c>
      <c r="Q163" s="80">
        <f t="shared" si="126"/>
        <v>6.9547520955484776E-2</v>
      </c>
      <c r="R163" s="80">
        <f t="shared" si="126"/>
        <v>6.5201504443810121E-2</v>
      </c>
      <c r="S163" s="80">
        <f t="shared" si="126"/>
        <v>-1.3047332705401149E-2</v>
      </c>
      <c r="T163" s="80">
        <f t="shared" si="126"/>
        <v>-1.3382396450905443E-2</v>
      </c>
      <c r="U163" s="80">
        <f t="shared" si="126"/>
        <v>4.2873516016448399E-3</v>
      </c>
      <c r="V163" s="80">
        <f t="shared" si="126"/>
        <v>4.8806061774060439E-3</v>
      </c>
      <c r="W163" s="81">
        <f t="shared" si="126"/>
        <v>1.7539763696105881E-2</v>
      </c>
      <c r="Z163"/>
      <c r="AA163" s="82">
        <f t="shared" si="119"/>
        <v>2.3470061725092917E-2</v>
      </c>
      <c r="AB163" s="2">
        <v>1997</v>
      </c>
      <c r="AD163" s="4"/>
      <c r="AE163" s="4"/>
    </row>
    <row r="164" spans="1:31">
      <c r="A164" s="2">
        <v>1998</v>
      </c>
      <c r="B164" s="80"/>
      <c r="C164" s="80"/>
      <c r="D164" s="80"/>
      <c r="E164" s="80"/>
      <c r="F164" s="80"/>
      <c r="G164" s="80"/>
      <c r="H164" s="80"/>
      <c r="I164" s="80"/>
      <c r="J164" s="80">
        <f t="shared" ref="J164:W164" si="127">(K$6/$J$6)^(1/(J$155-$A164))-1</f>
        <v>0.53560986517838005</v>
      </c>
      <c r="K164" s="80">
        <f t="shared" si="127"/>
        <v>0.20149186259140306</v>
      </c>
      <c r="L164" s="80">
        <f t="shared" si="127"/>
        <v>7.0304847884308463E-2</v>
      </c>
      <c r="M164" s="80">
        <f t="shared" si="127"/>
        <v>-6.5153169764790575E-2</v>
      </c>
      <c r="N164" s="80">
        <f t="shared" si="127"/>
        <v>-2.7706423604223485E-4</v>
      </c>
      <c r="O164" s="80">
        <f t="shared" si="127"/>
        <v>3.1589174102177209E-2</v>
      </c>
      <c r="P164" s="80">
        <f t="shared" si="127"/>
        <v>2.4902325679171389E-2</v>
      </c>
      <c r="Q164" s="80">
        <f t="shared" si="127"/>
        <v>3.3238383714855768E-2</v>
      </c>
      <c r="R164" s="80">
        <f t="shared" si="127"/>
        <v>3.2529229644470581E-2</v>
      </c>
      <c r="S164" s="80">
        <f t="shared" si="127"/>
        <v>-4.762868578986601E-2</v>
      </c>
      <c r="T164" s="80">
        <f t="shared" si="127"/>
        <v>-4.4889502428425043E-2</v>
      </c>
      <c r="U164" s="80">
        <f t="shared" si="127"/>
        <v>-2.3707882987895723E-2</v>
      </c>
      <c r="V164" s="80">
        <f t="shared" si="127"/>
        <v>-2.0959944459943536E-2</v>
      </c>
      <c r="W164" s="81">
        <f t="shared" si="127"/>
        <v>-5.8912862899413998E-3</v>
      </c>
      <c r="Z164"/>
      <c r="AA164" s="82">
        <f t="shared" si="119"/>
        <v>-3.1498754952988817E-3</v>
      </c>
      <c r="AB164" s="2">
        <v>1998</v>
      </c>
      <c r="AD164" s="4"/>
      <c r="AE164" s="4"/>
    </row>
    <row r="165" spans="1:31">
      <c r="A165" s="2">
        <v>1999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>
        <f t="shared" ref="K165:W165" si="128">(L$6/$K$6)^(1/(K$155-$A165))-1</f>
        <v>-5.9928743225631131E-2</v>
      </c>
      <c r="L165" s="80">
        <f t="shared" si="128"/>
        <v>-0.10644602305807205</v>
      </c>
      <c r="M165" s="80">
        <f t="shared" si="128"/>
        <v>-0.20769271597747407</v>
      </c>
      <c r="N165" s="80">
        <f t="shared" si="128"/>
        <v>-0.10199377657946007</v>
      </c>
      <c r="O165" s="80">
        <f t="shared" si="128"/>
        <v>-4.7309241706088967E-2</v>
      </c>
      <c r="P165" s="80">
        <f t="shared" si="128"/>
        <v>-4.1888448802246958E-2</v>
      </c>
      <c r="Q165" s="80">
        <f t="shared" si="128"/>
        <v>-2.3622815440594191E-2</v>
      </c>
      <c r="R165" s="80">
        <f t="shared" si="128"/>
        <v>-1.7449145860792492E-2</v>
      </c>
      <c r="S165" s="80">
        <f t="shared" si="128"/>
        <v>-9.6863127070122568E-2</v>
      </c>
      <c r="T165" s="80">
        <f t="shared" si="128"/>
        <v>-8.9183497134214695E-2</v>
      </c>
      <c r="U165" s="80">
        <f t="shared" si="128"/>
        <v>-6.3090023474661305E-2</v>
      </c>
      <c r="V165" s="80">
        <f t="shared" si="128"/>
        <v>-5.7002753969281117E-2</v>
      </c>
      <c r="W165" s="81">
        <f t="shared" si="128"/>
        <v>-3.8593205090596938E-2</v>
      </c>
      <c r="Z165"/>
      <c r="AA165" s="82">
        <f t="shared" si="119"/>
        <v>-3.9609522258492791E-2</v>
      </c>
      <c r="AB165" s="2">
        <v>1999</v>
      </c>
      <c r="AD165" s="4"/>
      <c r="AE165" s="4"/>
    </row>
    <row r="166" spans="1:31">
      <c r="A166" s="2">
        <v>2000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>
        <f t="shared" ref="L166:W166" si="129">(M$6/$L$6)^(1/(L$155-$A166))-1</f>
        <v>-0.15066150150320723</v>
      </c>
      <c r="M166" s="80">
        <f t="shared" si="129"/>
        <v>-0.27262212653201889</v>
      </c>
      <c r="N166" s="80">
        <f t="shared" si="129"/>
        <v>-0.1155929336327558</v>
      </c>
      <c r="O166" s="80">
        <f t="shared" si="129"/>
        <v>-4.4127985266519509E-2</v>
      </c>
      <c r="P166" s="80">
        <f t="shared" si="129"/>
        <v>-3.8239056756156686E-2</v>
      </c>
      <c r="Q166" s="80">
        <f t="shared" si="129"/>
        <v>-1.7436944484532702E-2</v>
      </c>
      <c r="R166" s="80">
        <f t="shared" si="129"/>
        <v>-1.1225915495011174E-2</v>
      </c>
      <c r="S166" s="80">
        <f t="shared" si="129"/>
        <v>-0.10137670249986053</v>
      </c>
      <c r="T166" s="80">
        <f t="shared" si="129"/>
        <v>-9.2377301898932895E-2</v>
      </c>
      <c r="U166" s="80">
        <f t="shared" si="129"/>
        <v>-6.3405566215734233E-2</v>
      </c>
      <c r="V166" s="80">
        <f t="shared" si="129"/>
        <v>-5.6736303774792551E-2</v>
      </c>
      <c r="W166" s="81">
        <f t="shared" si="129"/>
        <v>-3.6793536189159703E-2</v>
      </c>
      <c r="Z166"/>
      <c r="AA166" s="82">
        <f t="shared" si="119"/>
        <v>-3.766890647599308E-2</v>
      </c>
      <c r="AB166" s="2">
        <v>2000</v>
      </c>
      <c r="AD166" s="4"/>
      <c r="AE166" s="4"/>
    </row>
    <row r="167" spans="1:31">
      <c r="A167" s="3" t="s">
        <v>1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>
        <f t="shared" ref="M167:W167" si="130">(N$6/$M$6)^(1/(M$155-$A167))-1</f>
        <v>-0.37706983523389614</v>
      </c>
      <c r="N167" s="80">
        <f t="shared" si="130"/>
        <v>-9.7519346215802827E-2</v>
      </c>
      <c r="O167" s="80">
        <f t="shared" si="130"/>
        <v>-5.7260543775081718E-3</v>
      </c>
      <c r="P167" s="80">
        <f t="shared" si="130"/>
        <v>-7.8811111964184333E-3</v>
      </c>
      <c r="Q167" s="80">
        <f t="shared" si="130"/>
        <v>1.1617549093097868E-2</v>
      </c>
      <c r="R167" s="80">
        <f t="shared" si="130"/>
        <v>1.4144374626857026E-2</v>
      </c>
      <c r="S167" s="80">
        <f t="shared" si="130"/>
        <v>-9.4106328366841185E-2</v>
      </c>
      <c r="T167" s="80">
        <f t="shared" si="130"/>
        <v>-8.4816006796489152E-2</v>
      </c>
      <c r="U167" s="80">
        <f t="shared" si="130"/>
        <v>-5.3173191599086622E-2</v>
      </c>
      <c r="V167" s="80">
        <f t="shared" si="130"/>
        <v>-4.6790524459743188E-2</v>
      </c>
      <c r="W167" s="81">
        <f t="shared" si="130"/>
        <v>-2.5713843340017251E-2</v>
      </c>
      <c r="Z167"/>
      <c r="AA167" s="82">
        <f t="shared" si="119"/>
        <v>-2.5242150467799651E-2</v>
      </c>
      <c r="AB167" s="3" t="s">
        <v>1</v>
      </c>
      <c r="AD167" s="4"/>
      <c r="AE167" s="4"/>
    </row>
    <row r="168" spans="1:31">
      <c r="A168" s="3" t="s">
        <v>2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>
        <f t="shared" ref="N168:W168" si="131">(O$6/$N$6)^(1/(N$155-$A168))-1</f>
        <v>0.30748417161748387</v>
      </c>
      <c r="O168" s="80">
        <f t="shared" si="131"/>
        <v>0.25614394096751902</v>
      </c>
      <c r="P168" s="80">
        <f t="shared" si="131"/>
        <v>0.15861328432828814</v>
      </c>
      <c r="Q168" s="80">
        <f t="shared" si="131"/>
        <v>0.14198553501334721</v>
      </c>
      <c r="R168" s="80">
        <f t="shared" si="131"/>
        <v>0.117974430699328</v>
      </c>
      <c r="S168" s="80">
        <f t="shared" si="131"/>
        <v>-3.5763568101547016E-2</v>
      </c>
      <c r="T168" s="80">
        <f t="shared" si="131"/>
        <v>-3.311366297694518E-2</v>
      </c>
      <c r="U168" s="80">
        <f t="shared" si="131"/>
        <v>-2.3012133175056571E-3</v>
      </c>
      <c r="V168" s="80">
        <f t="shared" si="131"/>
        <v>-6.536827930518907E-4</v>
      </c>
      <c r="W168" s="81">
        <f t="shared" si="131"/>
        <v>1.8852343791307957E-2</v>
      </c>
      <c r="Z168"/>
      <c r="AA168" s="82">
        <f t="shared" si="119"/>
        <v>2.5928633901784348E-2</v>
      </c>
      <c r="AB168" s="3" t="s">
        <v>2</v>
      </c>
      <c r="AD168" s="4"/>
      <c r="AE168" s="4"/>
    </row>
    <row r="169" spans="1:31">
      <c r="A169" s="3" t="s">
        <v>4</v>
      </c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>
        <f t="shared" ref="O169:W169" si="132">(P$6/$O6)^(1/(O$155-$A169))-1</f>
        <v>0.20681965769222166</v>
      </c>
      <c r="P169" s="80">
        <f t="shared" si="132"/>
        <v>9.066037636771429E-2</v>
      </c>
      <c r="Q169" s="80">
        <f t="shared" si="132"/>
        <v>9.1612894986755622E-2</v>
      </c>
      <c r="R169" s="80">
        <f t="shared" si="132"/>
        <v>7.5055111859266832E-2</v>
      </c>
      <c r="S169" s="80">
        <f t="shared" si="132"/>
        <v>-9.2737509880947644E-2</v>
      </c>
      <c r="T169" s="80">
        <f t="shared" si="132"/>
        <v>-8.0541947780900847E-2</v>
      </c>
      <c r="U169" s="80">
        <f t="shared" si="132"/>
        <v>-4.0107208298313268E-2</v>
      </c>
      <c r="V169" s="80">
        <f t="shared" si="132"/>
        <v>-3.3668885612912813E-2</v>
      </c>
      <c r="W169" s="81">
        <f t="shared" si="132"/>
        <v>-8.9966638779842567E-3</v>
      </c>
      <c r="Z169"/>
      <c r="AA169" s="82">
        <f t="shared" si="119"/>
        <v>-5.2035281278824952E-3</v>
      </c>
      <c r="AB169" s="3" t="s">
        <v>4</v>
      </c>
      <c r="AD169" s="4"/>
      <c r="AE169" s="4"/>
    </row>
    <row r="170" spans="1:31">
      <c r="A170" s="3" t="s">
        <v>5</v>
      </c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>
        <f t="shared" ref="P170:W170" si="133">(Q$6/$P$6)^(1/(P$155-$A170))-1</f>
        <v>-1.4318296029997235E-2</v>
      </c>
      <c r="Q170" s="80">
        <f t="shared" si="133"/>
        <v>3.8201849045453207E-2</v>
      </c>
      <c r="R170" s="80">
        <f t="shared" si="133"/>
        <v>3.4411911440952014E-2</v>
      </c>
      <c r="S170" s="80">
        <f t="shared" si="133"/>
        <v>-0.15519670168900113</v>
      </c>
      <c r="T170" s="80">
        <f t="shared" si="133"/>
        <v>-0.12921722534782232</v>
      </c>
      <c r="U170" s="80">
        <f t="shared" si="133"/>
        <v>-7.6040809976967938E-2</v>
      </c>
      <c r="V170" s="80">
        <f t="shared" si="133"/>
        <v>-6.386624669076979E-2</v>
      </c>
      <c r="W170" s="81">
        <f t="shared" si="133"/>
        <v>-3.3105234477430967E-2</v>
      </c>
      <c r="Z170"/>
      <c r="AA170" s="82">
        <f t="shared" si="119"/>
        <v>-3.2679052362689864E-2</v>
      </c>
      <c r="AB170" s="3" t="s">
        <v>5</v>
      </c>
      <c r="AD170" s="4"/>
      <c r="AE170" s="4"/>
    </row>
    <row r="171" spans="1:31">
      <c r="A171" s="3">
        <v>2005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>
        <f t="shared" ref="Q171:W171" si="134">(R$6/$Q$6)^(1/(Q$155-$A171))-1</f>
        <v>9.3520428572549053E-2</v>
      </c>
      <c r="R171" s="80">
        <f t="shared" si="134"/>
        <v>5.9673128846741585E-2</v>
      </c>
      <c r="S171" s="80">
        <f t="shared" si="134"/>
        <v>-0.1975304364481818</v>
      </c>
      <c r="T171" s="80">
        <f t="shared" si="134"/>
        <v>-0.15578490555102897</v>
      </c>
      <c r="U171" s="80">
        <f t="shared" si="134"/>
        <v>-8.7913540721456407E-2</v>
      </c>
      <c r="V171" s="80">
        <f t="shared" si="134"/>
        <v>-7.1878629466621269E-2</v>
      </c>
      <c r="W171" s="81">
        <f t="shared" si="134"/>
        <v>-3.5759691520474535E-2</v>
      </c>
      <c r="Z171"/>
      <c r="AA171" s="82">
        <f t="shared" si="119"/>
        <v>-3.5498412297716775E-2</v>
      </c>
      <c r="AB171" s="3">
        <v>2005</v>
      </c>
      <c r="AD171" s="4"/>
      <c r="AE171" s="4"/>
    </row>
    <row r="172" spans="1:31">
      <c r="A172" s="3">
        <v>2006</v>
      </c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>
        <f t="shared" ref="R172:W172" si="135">(S$6/$R$6)^(1/(R$155-$A172))-1</f>
        <v>2.6873491029019592E-2</v>
      </c>
      <c r="S172" s="80">
        <f t="shared" si="135"/>
        <v>-0.31256854002588397</v>
      </c>
      <c r="T172" s="80">
        <f t="shared" si="135"/>
        <v>-0.22554679074142236</v>
      </c>
      <c r="U172" s="80">
        <f t="shared" si="135"/>
        <v>-0.12835772570789394</v>
      </c>
      <c r="V172" s="80">
        <f t="shared" si="135"/>
        <v>-0.10182627310658332</v>
      </c>
      <c r="W172" s="81">
        <f t="shared" si="135"/>
        <v>-5.5768801076829244E-2</v>
      </c>
      <c r="Z172"/>
      <c r="AA172" s="82">
        <f t="shared" si="119"/>
        <v>-5.7539873330241575E-2</v>
      </c>
      <c r="AB172" s="3">
        <v>2006</v>
      </c>
      <c r="AD172" s="4"/>
      <c r="AE172" s="4"/>
    </row>
    <row r="173" spans="1:31">
      <c r="A173" s="3">
        <v>2007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>
        <f>(T$6/$S$6)^(1/(S$155-$A173))-1</f>
        <v>-0.53980503315106998</v>
      </c>
      <c r="T173" s="80">
        <f>(U$6/$S$6)^(1/(T$155-$A173))-1</f>
        <v>-0.32743493602491713</v>
      </c>
      <c r="U173" s="80">
        <f>(V$6/$S$6)^(1/(U$155-$A173))-1</f>
        <v>-0.17469958013263864</v>
      </c>
      <c r="V173" s="80">
        <f>(W$6/$S$6)^(1/(V$155-$A173))-1</f>
        <v>-0.13139725365555865</v>
      </c>
      <c r="W173" s="81">
        <f>(X$6/$S$6)^(1/(W$155-$A173))-1</f>
        <v>-7.1481359551575308E-2</v>
      </c>
      <c r="Z173"/>
      <c r="AA173" s="82">
        <f t="shared" si="119"/>
        <v>-7.5567906705505727E-2</v>
      </c>
      <c r="AB173" s="3">
        <v>2007</v>
      </c>
      <c r="AD173" s="4"/>
      <c r="AE173" s="4"/>
    </row>
    <row r="174" spans="1:31">
      <c r="A174" s="3">
        <v>2008</v>
      </c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>
        <f>(U$6/$T$6)^(1/(T$155-$A174))-1</f>
        <v>-1.7060598517367187E-2</v>
      </c>
      <c r="U174" s="80">
        <f>(V$6/$T$6)^(1/(U$155-$A174))-1</f>
        <v>0.10521600853374147</v>
      </c>
      <c r="V174" s="80">
        <f>(W$6/$T$6)^(1/(V$155-$A174))-1</f>
        <v>7.344791324927713E-2</v>
      </c>
      <c r="W174" s="81">
        <f>(X$6/$T$6)^(1/(W$155-$A174))-1</f>
        <v>0.10663096304671704</v>
      </c>
      <c r="Z174"/>
      <c r="AA174" s="82">
        <f t="shared" si="119"/>
        <v>0.10791092166896887</v>
      </c>
      <c r="AB174" s="3">
        <v>2008</v>
      </c>
      <c r="AD174" s="4"/>
      <c r="AE174" s="4"/>
    </row>
    <row r="175" spans="1:31">
      <c r="A175" s="3">
        <v>2009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>
        <f>(V$6/$U$6)^(1/(U$155-$A175))-1</f>
        <v>0.24270369432416916</v>
      </c>
      <c r="V175" s="80">
        <f>(W$6/$U$6)^(1/(V$155-$A175))-1</f>
        <v>0.12178103111382765</v>
      </c>
      <c r="W175" s="81">
        <f>(X$6/$U$6)^(1/(W$155-$A175))-1</f>
        <v>0.15122843621945226</v>
      </c>
      <c r="Z175"/>
      <c r="AA175" s="82">
        <f t="shared" si="119"/>
        <v>0.14942043816496153</v>
      </c>
      <c r="AB175" s="3">
        <v>2009</v>
      </c>
      <c r="AD175" s="4"/>
      <c r="AE175" s="4"/>
    </row>
    <row r="176" spans="1:31">
      <c r="A176" s="3">
        <v>2010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>
        <f>(W$6/$V$6)^(1/(V$155-$A176))-1</f>
        <v>1.2624881952383316E-2</v>
      </c>
      <c r="W176" s="81">
        <f>(X$6/$V$6)^(1/(W$155-$A176))-1</f>
        <v>0.10804772905740734</v>
      </c>
      <c r="Z176"/>
      <c r="AA176" s="82">
        <f t="shared" si="119"/>
        <v>0.10539772811153902</v>
      </c>
      <c r="AB176" s="3">
        <v>2010</v>
      </c>
      <c r="AD176" s="4"/>
      <c r="AE176" s="4"/>
    </row>
    <row r="177" spans="1:31">
      <c r="A177" s="3">
        <v>2011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1">
        <f>(X$6/$W$6)^(1/(W$155-$A177))-1</f>
        <v>0.21246257301330207</v>
      </c>
      <c r="Z177"/>
      <c r="AA177" s="82">
        <f t="shared" si="119"/>
        <v>0.21146022770564854</v>
      </c>
      <c r="AB177" s="3">
        <v>2011</v>
      </c>
      <c r="AD177" s="4"/>
      <c r="AE177" s="4"/>
    </row>
    <row r="178" spans="1:31">
      <c r="Z178"/>
      <c r="AA178"/>
      <c r="AD178" s="4"/>
      <c r="AE178" s="4"/>
    </row>
    <row r="179" spans="1:31">
      <c r="Z179"/>
      <c r="AA179"/>
      <c r="AD179" s="4"/>
      <c r="AE179" s="4"/>
    </row>
    <row r="180" spans="1:31">
      <c r="Z180"/>
      <c r="AA180"/>
      <c r="AD180" s="4"/>
      <c r="AE180" s="4"/>
    </row>
    <row r="181" spans="1:31">
      <c r="B181" s="2">
        <v>1990</v>
      </c>
      <c r="C181" s="2">
        <v>1991</v>
      </c>
      <c r="D181" s="2">
        <v>1992</v>
      </c>
      <c r="E181" s="2">
        <v>1993</v>
      </c>
      <c r="F181" s="2">
        <v>1994</v>
      </c>
      <c r="G181" s="2">
        <v>1995</v>
      </c>
      <c r="H181" s="2">
        <v>1996</v>
      </c>
      <c r="I181" s="2">
        <v>1997</v>
      </c>
      <c r="J181" s="2">
        <v>1998</v>
      </c>
      <c r="K181" s="2">
        <v>1999</v>
      </c>
      <c r="L181" s="2">
        <v>2000</v>
      </c>
      <c r="M181" s="3" t="s">
        <v>1</v>
      </c>
      <c r="N181" s="3" t="s">
        <v>2</v>
      </c>
      <c r="O181" s="3" t="s">
        <v>4</v>
      </c>
      <c r="P181" s="3" t="s">
        <v>5</v>
      </c>
      <c r="Q181" s="3">
        <v>2005</v>
      </c>
      <c r="R181" s="3">
        <v>2006</v>
      </c>
      <c r="S181" s="3">
        <v>2007</v>
      </c>
      <c r="T181" s="3">
        <v>2008</v>
      </c>
      <c r="U181" s="3">
        <v>2009</v>
      </c>
      <c r="V181" s="3">
        <v>2010</v>
      </c>
      <c r="W181" s="3">
        <v>2011</v>
      </c>
      <c r="X181" s="3">
        <v>2012</v>
      </c>
      <c r="Y181" s="2">
        <v>2013</v>
      </c>
      <c r="Z181" s="2">
        <v>2014</v>
      </c>
      <c r="AA181"/>
      <c r="AD181" s="4"/>
      <c r="AE181" s="4"/>
    </row>
    <row r="182" spans="1:31">
      <c r="A182" s="8" t="s">
        <v>89</v>
      </c>
      <c r="B182" s="84">
        <v>100</v>
      </c>
      <c r="C182" s="90">
        <f t="shared" ref="C182:X182" si="136">C11/B11*B182</f>
        <v>133.33333333333334</v>
      </c>
      <c r="D182" s="90">
        <f t="shared" si="136"/>
        <v>149.01899263721555</v>
      </c>
      <c r="E182" s="90">
        <f t="shared" si="136"/>
        <v>182.78739959839356</v>
      </c>
      <c r="F182" s="90">
        <f t="shared" si="136"/>
        <v>177.77568607764391</v>
      </c>
      <c r="G182" s="90">
        <f t="shared" si="136"/>
        <v>250.97891566265059</v>
      </c>
      <c r="H182" s="90">
        <f t="shared" si="136"/>
        <v>344.65988955823286</v>
      </c>
      <c r="I182" s="90">
        <f t="shared" si="136"/>
        <v>511.54409303882193</v>
      </c>
      <c r="J182" s="90">
        <f t="shared" si="136"/>
        <v>711.10692771084337</v>
      </c>
      <c r="K182" s="90">
        <f t="shared" si="136"/>
        <v>1078.8612784471218</v>
      </c>
      <c r="L182" s="90">
        <f t="shared" si="136"/>
        <v>1002.70875167336</v>
      </c>
      <c r="M182" s="90">
        <f t="shared" si="136"/>
        <v>838.35341365461852</v>
      </c>
      <c r="N182" s="90">
        <f t="shared" si="136"/>
        <v>509.32898259705485</v>
      </c>
      <c r="O182" s="90">
        <f t="shared" si="136"/>
        <v>648.00870147255682</v>
      </c>
      <c r="P182" s="90">
        <f t="shared" si="136"/>
        <v>763.47054886211504</v>
      </c>
      <c r="Q182" s="90">
        <f t="shared" si="136"/>
        <v>733.14089692101743</v>
      </c>
      <c r="R182" s="90">
        <f t="shared" si="136"/>
        <v>778.32161981258366</v>
      </c>
      <c r="S182" s="90">
        <f t="shared" si="136"/>
        <v>775.39323962516733</v>
      </c>
      <c r="T182" s="90">
        <f t="shared" si="136"/>
        <v>338.85542168674698</v>
      </c>
      <c r="U182" s="90">
        <f t="shared" si="136"/>
        <v>316.47423025435074</v>
      </c>
      <c r="V182" s="90">
        <f t="shared" si="136"/>
        <v>382.5719544846051</v>
      </c>
      <c r="W182" s="90">
        <f t="shared" si="136"/>
        <v>374.62349397590367</v>
      </c>
      <c r="X182" s="90">
        <f t="shared" si="136"/>
        <v>439.04785809906303</v>
      </c>
      <c r="Y182" s="90">
        <f t="shared" ref="Y182" si="137">Y11/X11*X182</f>
        <v>586.30354752342726</v>
      </c>
      <c r="Z182" s="90">
        <f t="shared" ref="Z182" si="138">Z11/Y11*Y182</f>
        <v>528.57262382864815</v>
      </c>
      <c r="AA182" s="5">
        <f>(X182/B182)^(1/(X181-B181))-1</f>
        <v>6.9559832781573849E-2</v>
      </c>
      <c r="AD182" s="4"/>
      <c r="AE182" s="4"/>
    </row>
    <row r="183" spans="1:31">
      <c r="A183" s="8" t="s">
        <v>16</v>
      </c>
      <c r="B183" s="84">
        <v>100</v>
      </c>
      <c r="C183" s="90">
        <f>C64/B64*B183</f>
        <v>137.37201090023706</v>
      </c>
      <c r="D183" s="90">
        <f t="shared" ref="D183:X183" si="139">D64/C64*C183</f>
        <v>158.1098730993115</v>
      </c>
      <c r="E183" s="90">
        <f t="shared" si="139"/>
        <v>199.29212957737397</v>
      </c>
      <c r="F183" s="90">
        <f t="shared" si="139"/>
        <v>199.70491961881422</v>
      </c>
      <c r="G183" s="90">
        <f t="shared" si="139"/>
        <v>289.83343276843448</v>
      </c>
      <c r="H183" s="90">
        <f t="shared" si="139"/>
        <v>406.57884128545402</v>
      </c>
      <c r="I183" s="90">
        <f t="shared" si="139"/>
        <v>613.72204395568963</v>
      </c>
      <c r="J183" s="90">
        <f t="shared" si="139"/>
        <v>865.30306206362786</v>
      </c>
      <c r="K183" s="90">
        <f t="shared" si="139"/>
        <v>1328.767918473967</v>
      </c>
      <c r="L183" s="90">
        <f t="shared" si="139"/>
        <v>1249.1365270812844</v>
      </c>
      <c r="M183" s="90">
        <f t="shared" si="139"/>
        <v>1060.9397423287164</v>
      </c>
      <c r="N183" s="90">
        <f t="shared" si="139"/>
        <v>660.89136849573504</v>
      </c>
      <c r="O183" s="90">
        <f t="shared" si="139"/>
        <v>864.10500346679135</v>
      </c>
      <c r="P183" s="90">
        <f t="shared" si="139"/>
        <v>1042.818904493929</v>
      </c>
      <c r="Q183" s="90">
        <f t="shared" si="139"/>
        <v>1027.8875147137076</v>
      </c>
      <c r="R183" s="90">
        <f t="shared" si="139"/>
        <v>1124.0159956141058</v>
      </c>
      <c r="S183" s="90">
        <f t="shared" si="139"/>
        <v>1154.222229388716</v>
      </c>
      <c r="T183" s="90">
        <f t="shared" si="139"/>
        <v>531.16726058983818</v>
      </c>
      <c r="U183" s="90">
        <f t="shared" si="139"/>
        <v>522.1052292113452</v>
      </c>
      <c r="V183" s="90">
        <f t="shared" si="139"/>
        <v>648.82209716690579</v>
      </c>
      <c r="W183" s="90">
        <f t="shared" si="139"/>
        <v>657.0133995517358</v>
      </c>
      <c r="X183" s="90">
        <f t="shared" si="139"/>
        <v>796.60415692471429</v>
      </c>
      <c r="Y183" s="90">
        <f t="shared" ref="Y183" si="140">Y64/X64*X183</f>
        <v>1098.413338278214</v>
      </c>
      <c r="Z183" s="90">
        <f t="shared" ref="Z183" si="141">Z64/Y64*Y183</f>
        <v>1024.8335133914895</v>
      </c>
      <c r="AA183" s="89">
        <f>(X183/B183)^(1/(X181-B181))-1</f>
        <v>9.891871915786421E-2</v>
      </c>
      <c r="AD183" s="4"/>
      <c r="AE183" s="4"/>
    </row>
    <row r="184" spans="1:31">
      <c r="A184" s="8" t="s">
        <v>86</v>
      </c>
      <c r="B184" s="84"/>
      <c r="C184" s="90">
        <f>((C183/B183)-(C182/B182))*B182</f>
        <v>4.0386775669037034</v>
      </c>
      <c r="D184" s="90">
        <f t="shared" ref="D184:X184" si="142">((D183/C183)-(D182/C182))*C182</f>
        <v>4.4425187368249004</v>
      </c>
      <c r="E184" s="90">
        <f t="shared" si="142"/>
        <v>5.0459836558683913</v>
      </c>
      <c r="F184" s="90">
        <f t="shared" si="142"/>
        <v>5.3903176252618703</v>
      </c>
      <c r="G184" s="90">
        <f t="shared" si="142"/>
        <v>7.0284356684826257</v>
      </c>
      <c r="H184" s="90">
        <f t="shared" si="142"/>
        <v>7.413767861159049</v>
      </c>
      <c r="I184" s="90">
        <f t="shared" si="142"/>
        <v>8.7126208139079573</v>
      </c>
      <c r="J184" s="90">
        <f t="shared" si="142"/>
        <v>10.13271887909136</v>
      </c>
      <c r="K184" s="90">
        <f t="shared" si="142"/>
        <v>13.121534942338526</v>
      </c>
      <c r="L184" s="90">
        <f t="shared" si="142"/>
        <v>11.497726241628246</v>
      </c>
      <c r="M184" s="90">
        <f t="shared" si="142"/>
        <v>13.285731921226477</v>
      </c>
      <c r="N184" s="90">
        <f t="shared" si="142"/>
        <v>12.906647503042283</v>
      </c>
      <c r="O184" s="90">
        <f t="shared" si="142"/>
        <v>17.930881419129246</v>
      </c>
      <c r="P184" s="90">
        <f t="shared" si="142"/>
        <v>18.559090430576841</v>
      </c>
      <c r="Q184" s="90">
        <f t="shared" si="142"/>
        <v>19.398054612305408</v>
      </c>
      <c r="R184" s="90">
        <f t="shared" si="142"/>
        <v>23.382927992550329</v>
      </c>
      <c r="S184" s="90">
        <f t="shared" si="142"/>
        <v>23.844599255141784</v>
      </c>
      <c r="T184" s="90">
        <f t="shared" si="142"/>
        <v>17.976644517441311</v>
      </c>
      <c r="U184" s="90">
        <f t="shared" si="142"/>
        <v>16.600115127565481</v>
      </c>
      <c r="V184" s="90">
        <f t="shared" si="142"/>
        <v>10.711740610874331</v>
      </c>
      <c r="W184" s="90">
        <f t="shared" si="142"/>
        <v>12.778386272362116</v>
      </c>
      <c r="X184" s="90">
        <f t="shared" si="142"/>
        <v>15.16910731819441</v>
      </c>
      <c r="Y184" s="90">
        <f t="shared" ref="Y184" si="143">((Y183/X183)-(Y182/X182))*X182</f>
        <v>19.086242733553096</v>
      </c>
      <c r="Z184" s="90">
        <f t="shared" ref="Z184" si="144">((Z183/Y183)-(Z182/Y182))*Y182</f>
        <v>18.455988791983572</v>
      </c>
      <c r="AA184" s="5"/>
      <c r="AD184" s="4"/>
      <c r="AE184" s="4"/>
    </row>
    <row r="185" spans="1:31" ht="13.5">
      <c r="A185" s="6" t="s">
        <v>87</v>
      </c>
      <c r="B185" s="83">
        <f>-100</f>
        <v>-100</v>
      </c>
      <c r="C185" s="83">
        <f>C184</f>
        <v>4.0386775669037034</v>
      </c>
      <c r="D185" s="83">
        <f t="shared" ref="D185:Z185" si="145">D184</f>
        <v>4.4425187368249004</v>
      </c>
      <c r="E185" s="83">
        <f t="shared" si="145"/>
        <v>5.0459836558683913</v>
      </c>
      <c r="F185" s="83">
        <f t="shared" si="145"/>
        <v>5.3903176252618703</v>
      </c>
      <c r="G185" s="83">
        <f t="shared" si="145"/>
        <v>7.0284356684826257</v>
      </c>
      <c r="H185" s="83">
        <f t="shared" si="145"/>
        <v>7.413767861159049</v>
      </c>
      <c r="I185" s="83">
        <f t="shared" si="145"/>
        <v>8.7126208139079573</v>
      </c>
      <c r="J185" s="83">
        <f t="shared" si="145"/>
        <v>10.13271887909136</v>
      </c>
      <c r="K185" s="83">
        <f t="shared" si="145"/>
        <v>13.121534942338526</v>
      </c>
      <c r="L185" s="83">
        <f t="shared" si="145"/>
        <v>11.497726241628246</v>
      </c>
      <c r="M185" s="83">
        <f t="shared" si="145"/>
        <v>13.285731921226477</v>
      </c>
      <c r="N185" s="83">
        <f t="shared" si="145"/>
        <v>12.906647503042283</v>
      </c>
      <c r="O185" s="83">
        <f t="shared" si="145"/>
        <v>17.930881419129246</v>
      </c>
      <c r="P185" s="83">
        <f t="shared" si="145"/>
        <v>18.559090430576841</v>
      </c>
      <c r="Q185" s="83">
        <f t="shared" si="145"/>
        <v>19.398054612305408</v>
      </c>
      <c r="R185" s="83">
        <f t="shared" si="145"/>
        <v>23.382927992550329</v>
      </c>
      <c r="S185" s="83">
        <f t="shared" si="145"/>
        <v>23.844599255141784</v>
      </c>
      <c r="T185" s="83">
        <f t="shared" si="145"/>
        <v>17.976644517441311</v>
      </c>
      <c r="U185" s="83">
        <f t="shared" si="145"/>
        <v>16.600115127565481</v>
      </c>
      <c r="V185" s="83">
        <f t="shared" si="145"/>
        <v>10.711740610874331</v>
      </c>
      <c r="W185" s="83">
        <f t="shared" si="145"/>
        <v>12.778386272362116</v>
      </c>
      <c r="X185" s="83">
        <f>X182+X184</f>
        <v>454.21696541725743</v>
      </c>
      <c r="Y185" s="83">
        <f t="shared" si="145"/>
        <v>19.086242733553096</v>
      </c>
      <c r="Z185" s="83">
        <f t="shared" si="145"/>
        <v>18.455988791983572</v>
      </c>
      <c r="AA185" s="88">
        <f>IRR(B185:X185)</f>
        <v>0.12643838383506756</v>
      </c>
      <c r="AD185" s="4"/>
      <c r="AE185" s="4"/>
    </row>
    <row r="186" spans="1:31" ht="14.25" thickBot="1">
      <c r="A186" s="6"/>
      <c r="B186" s="83"/>
      <c r="C186" s="83">
        <f>C185*$X183/C183</f>
        <v>23.419816869467759</v>
      </c>
      <c r="D186" s="83">
        <f t="shared" ref="D186:Z186" si="146">D185*$X183/D183</f>
        <v>22.382719204054922</v>
      </c>
      <c r="E186" s="83">
        <f t="shared" si="146"/>
        <v>20.169645256755221</v>
      </c>
      <c r="F186" s="83">
        <f t="shared" si="146"/>
        <v>21.501470447619496</v>
      </c>
      <c r="G186" s="83">
        <f t="shared" si="146"/>
        <v>19.317581883883211</v>
      </c>
      <c r="H186" s="83">
        <f t="shared" si="146"/>
        <v>14.525690215462369</v>
      </c>
      <c r="I186" s="83">
        <f t="shared" si="146"/>
        <v>11.308881645074113</v>
      </c>
      <c r="J186" s="83">
        <f t="shared" si="146"/>
        <v>9.3282531102844661</v>
      </c>
      <c r="K186" s="83">
        <f t="shared" si="146"/>
        <v>7.8664371219198328</v>
      </c>
      <c r="L186" s="83">
        <f t="shared" si="146"/>
        <v>7.3323742606939435</v>
      </c>
      <c r="M186" s="83">
        <f t="shared" si="146"/>
        <v>9.9755611501612051</v>
      </c>
      <c r="N186" s="83">
        <f t="shared" si="146"/>
        <v>15.557003076447074</v>
      </c>
      <c r="O186" s="83">
        <f t="shared" si="146"/>
        <v>16.530183968957221</v>
      </c>
      <c r="P186" s="83">
        <f t="shared" si="146"/>
        <v>14.177196560234842</v>
      </c>
      <c r="Q186" s="83">
        <f t="shared" si="146"/>
        <v>15.033328763331699</v>
      </c>
      <c r="R186" s="83">
        <f t="shared" si="146"/>
        <v>16.571772743999105</v>
      </c>
      <c r="S186" s="83">
        <f t="shared" si="146"/>
        <v>16.456715529477904</v>
      </c>
      <c r="T186" s="83">
        <f t="shared" si="146"/>
        <v>26.960000761811987</v>
      </c>
      <c r="U186" s="83">
        <f t="shared" si="146"/>
        <v>25.327692534361898</v>
      </c>
      <c r="V186" s="83">
        <f t="shared" si="146"/>
        <v>13.151551304712576</v>
      </c>
      <c r="W186" s="83">
        <f t="shared" si="146"/>
        <v>15.493315098746029</v>
      </c>
      <c r="X186" s="83">
        <f>SUM(C186:W186)</f>
        <v>342.38719150745698</v>
      </c>
      <c r="Y186" s="83">
        <f t="shared" si="146"/>
        <v>13.841947991505084</v>
      </c>
      <c r="Z186" s="83">
        <f t="shared" si="146"/>
        <v>14.345859302742959</v>
      </c>
      <c r="AA186" s="82"/>
      <c r="AD186" s="4"/>
      <c r="AE186" s="4"/>
    </row>
    <row r="187" spans="1:31" ht="14.25" thickBot="1">
      <c r="A187" s="6"/>
      <c r="X187" s="85">
        <f>X186+X185</f>
        <v>796.6041569247144</v>
      </c>
      <c r="Y187" s="85"/>
      <c r="Z187" s="85"/>
      <c r="AA187" s="86">
        <f>X187-X183</f>
        <v>0</v>
      </c>
      <c r="AD187" s="4"/>
      <c r="AE187" s="4"/>
    </row>
    <row r="188" spans="1:31" ht="13.5">
      <c r="A188" s="6" t="s">
        <v>88</v>
      </c>
      <c r="B188" s="87">
        <f>B39</f>
        <v>-50.344880000000003</v>
      </c>
      <c r="C188" s="87">
        <f t="shared" ref="C188:Z188" si="147">C39</f>
        <v>2.5426908928433973</v>
      </c>
      <c r="D188" s="87">
        <f t="shared" si="147"/>
        <v>2.8909014552013228</v>
      </c>
      <c r="E188" s="87">
        <f t="shared" si="147"/>
        <v>2.2670641998834897</v>
      </c>
      <c r="F188" s="87">
        <f t="shared" si="147"/>
        <v>2.2675283566924622</v>
      </c>
      <c r="G188" s="87">
        <f t="shared" si="147"/>
        <v>5.164797881433163</v>
      </c>
      <c r="H188" s="87">
        <f t="shared" si="147"/>
        <v>5.115384623878187</v>
      </c>
      <c r="I188" s="87">
        <f t="shared" si="147"/>
        <v>4.4565521969947079</v>
      </c>
      <c r="J188" s="87">
        <f t="shared" si="147"/>
        <v>3.4780384646981801</v>
      </c>
      <c r="K188" s="87">
        <f t="shared" si="147"/>
        <v>4.3700643093814602</v>
      </c>
      <c r="L188" s="87">
        <f t="shared" si="147"/>
        <v>1.6582212014574305</v>
      </c>
      <c r="M188" s="87">
        <f t="shared" si="147"/>
        <v>5.4832619192515626</v>
      </c>
      <c r="N188" s="87">
        <f t="shared" si="147"/>
        <v>6.4082066534855704</v>
      </c>
      <c r="O188" s="87">
        <f t="shared" si="147"/>
        <v>4.5629189538175687</v>
      </c>
      <c r="P188" s="87">
        <f t="shared" si="147"/>
        <v>-7.9019765902419774</v>
      </c>
      <c r="Q188" s="87">
        <f t="shared" si="147"/>
        <v>9.4947188645311513</v>
      </c>
      <c r="R188" s="87">
        <f t="shared" si="147"/>
        <v>19.008816120015105</v>
      </c>
      <c r="S188" s="87">
        <f t="shared" si="147"/>
        <v>19.591510596639573</v>
      </c>
      <c r="T188" s="87">
        <f t="shared" si="147"/>
        <v>17.534190554369012</v>
      </c>
      <c r="U188" s="87">
        <f t="shared" si="147"/>
        <v>-0.63738348709266823</v>
      </c>
      <c r="V188" s="87">
        <f t="shared" si="147"/>
        <v>4.6615319698225246</v>
      </c>
      <c r="W188" s="87">
        <f t="shared" si="147"/>
        <v>8.1897032920630171</v>
      </c>
      <c r="X188" s="87">
        <f t="shared" si="147"/>
        <v>229.06532277503945</v>
      </c>
      <c r="Y188" s="87">
        <f t="shared" si="147"/>
        <v>7.9927223000000005</v>
      </c>
      <c r="Z188" s="87">
        <f t="shared" si="147"/>
        <v>8.9375491</v>
      </c>
      <c r="AA188" s="88">
        <f>IRR(B188:X188)</f>
        <v>0.12164829373391584</v>
      </c>
      <c r="AD188" s="4"/>
      <c r="AE188" s="4"/>
    </row>
    <row r="189" spans="1:31">
      <c r="Z189"/>
      <c r="AA189"/>
      <c r="AD189" s="4"/>
      <c r="AE189" s="4"/>
    </row>
    <row r="190" spans="1:31">
      <c r="Z190"/>
      <c r="AA190"/>
      <c r="AD190" s="4"/>
      <c r="AE190" s="4"/>
    </row>
    <row r="191" spans="1:31">
      <c r="Z191"/>
      <c r="AA191"/>
      <c r="AD191" s="4"/>
      <c r="AE191" s="4"/>
    </row>
    <row r="192" spans="1:31">
      <c r="Z192"/>
      <c r="AA192"/>
      <c r="AD192" s="4"/>
      <c r="AE192" s="4"/>
    </row>
    <row r="193" spans="26:31">
      <c r="Z193"/>
      <c r="AA193"/>
      <c r="AD193" s="4"/>
      <c r="AE193" s="4"/>
    </row>
    <row r="194" spans="26:31">
      <c r="Z194"/>
      <c r="AA194"/>
      <c r="AD194" s="4"/>
      <c r="AE194" s="4"/>
    </row>
    <row r="195" spans="26:31">
      <c r="Z195"/>
      <c r="AA195"/>
      <c r="AD195" s="4"/>
      <c r="AE195" s="4"/>
    </row>
    <row r="196" spans="26:31">
      <c r="Z196"/>
      <c r="AA196"/>
      <c r="AD196" s="4"/>
      <c r="AE196" s="4"/>
    </row>
    <row r="197" spans="26:31">
      <c r="Z197"/>
      <c r="AA197"/>
      <c r="AD197" s="4"/>
      <c r="AE197" s="4"/>
    </row>
    <row r="198" spans="26:31">
      <c r="Z198"/>
      <c r="AA198"/>
      <c r="AD198" s="4"/>
      <c r="AE198" s="4"/>
    </row>
    <row r="199" spans="26:31">
      <c r="Z199"/>
      <c r="AA199"/>
      <c r="AD199" s="4"/>
      <c r="AE199" s="4"/>
    </row>
    <row r="200" spans="26:31">
      <c r="Z200"/>
      <c r="AA200"/>
      <c r="AD200" s="4"/>
      <c r="AE200" s="4"/>
    </row>
    <row r="201" spans="26:31">
      <c r="Z201"/>
      <c r="AA201"/>
      <c r="AD201" s="4"/>
      <c r="AE201" s="4"/>
    </row>
    <row r="202" spans="26:31">
      <c r="Z202"/>
      <c r="AA202"/>
      <c r="AD202" s="4"/>
      <c r="AE202" s="4"/>
    </row>
    <row r="203" spans="26:31">
      <c r="Z203"/>
      <c r="AA203"/>
      <c r="AD203" s="4"/>
      <c r="AE203" s="4"/>
    </row>
    <row r="204" spans="26:31">
      <c r="Z204"/>
      <c r="AA204"/>
      <c r="AD204" s="4"/>
      <c r="AE204" s="4"/>
    </row>
    <row r="205" spans="26:31">
      <c r="Z205"/>
      <c r="AA205"/>
      <c r="AD205" s="4"/>
      <c r="AE205" s="4"/>
    </row>
    <row r="206" spans="26:31">
      <c r="Z206"/>
      <c r="AA206"/>
      <c r="AD206" s="4"/>
      <c r="AE206" s="4"/>
    </row>
    <row r="207" spans="26:31">
      <c r="Z207"/>
      <c r="AA207"/>
      <c r="AD207" s="4"/>
      <c r="AE207" s="4"/>
    </row>
    <row r="208" spans="26:31">
      <c r="Z208"/>
      <c r="AA208"/>
      <c r="AD208" s="4"/>
      <c r="AE208" s="4"/>
    </row>
    <row r="209" spans="26:31">
      <c r="Z209"/>
      <c r="AA209"/>
      <c r="AD209" s="4"/>
      <c r="AE209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20"/>
  <sheetViews>
    <sheetView tabSelected="1" workbookViewId="0">
      <selection activeCell="H32" sqref="H32"/>
    </sheetView>
  </sheetViews>
  <sheetFormatPr defaultColWidth="9.140625" defaultRowHeight="12.75"/>
  <cols>
    <col min="2" max="2" width="2.28515625" customWidth="1"/>
    <col min="3" max="3" width="17.85546875" style="4" customWidth="1"/>
    <col min="4" max="5" width="2.5703125" style="4" customWidth="1"/>
    <col min="6" max="6" width="30" style="4" customWidth="1"/>
    <col min="7" max="7" width="2.7109375" style="4" customWidth="1"/>
    <col min="8" max="8" width="30.85546875" style="4" customWidth="1"/>
    <col min="9" max="9" width="2.5703125" customWidth="1"/>
  </cols>
  <sheetData>
    <row r="1" spans="3:8" ht="13.5" thickBot="1"/>
    <row r="2" spans="3:8" ht="27" thickTop="1" thickBot="1">
      <c r="C2" s="62"/>
      <c r="D2" s="62"/>
      <c r="E2" s="62"/>
      <c r="F2" s="59" t="s">
        <v>55</v>
      </c>
      <c r="G2" s="60"/>
      <c r="H2" s="59" t="s">
        <v>56</v>
      </c>
    </row>
    <row r="3" spans="3:8" ht="14.25" thickTop="1" thickBot="1">
      <c r="C3" s="62"/>
      <c r="D3" s="62"/>
      <c r="E3" s="62"/>
      <c r="F3" s="63"/>
      <c r="G3" s="62"/>
      <c r="H3" s="63"/>
    </row>
    <row r="4" spans="3:8" ht="13.5" thickBot="1">
      <c r="C4" s="62"/>
      <c r="D4" s="62"/>
      <c r="E4" s="64"/>
      <c r="F4" s="121" t="s">
        <v>57</v>
      </c>
      <c r="G4" s="64"/>
      <c r="H4" s="121" t="s">
        <v>58</v>
      </c>
    </row>
    <row r="5" spans="3:8" ht="13.5" thickBot="1">
      <c r="C5" s="62"/>
      <c r="D5" s="65"/>
      <c r="E5" s="66"/>
      <c r="F5" s="122"/>
      <c r="G5" s="62"/>
      <c r="H5" s="122"/>
    </row>
    <row r="6" spans="3:8" ht="13.5" thickBot="1">
      <c r="C6" s="62"/>
      <c r="D6" s="65"/>
      <c r="E6" s="67"/>
      <c r="F6" s="63"/>
      <c r="G6" s="62"/>
      <c r="H6" s="63"/>
    </row>
    <row r="7" spans="3:8" ht="13.5" thickBot="1">
      <c r="C7" s="62"/>
      <c r="D7" s="65"/>
      <c r="E7" s="68"/>
      <c r="F7" s="121" t="s">
        <v>59</v>
      </c>
      <c r="G7" s="64"/>
      <c r="H7" s="69" t="s">
        <v>60</v>
      </c>
    </row>
    <row r="8" spans="3:8" ht="13.5" thickBot="1">
      <c r="C8" s="62"/>
      <c r="D8" s="65"/>
      <c r="E8" s="67"/>
      <c r="F8" s="122"/>
      <c r="G8" s="62"/>
      <c r="H8" s="70" t="s">
        <v>61</v>
      </c>
    </row>
    <row r="9" spans="3:8" ht="13.5" thickBot="1">
      <c r="C9" s="62"/>
      <c r="D9" s="65"/>
      <c r="E9" s="67"/>
      <c r="F9" s="63"/>
      <c r="G9" s="62"/>
      <c r="H9" s="63"/>
    </row>
    <row r="10" spans="3:8" ht="13.5" thickBot="1">
      <c r="E10" s="68"/>
      <c r="F10" s="123" t="s">
        <v>63</v>
      </c>
      <c r="G10" s="64"/>
      <c r="H10" s="123" t="s">
        <v>64</v>
      </c>
    </row>
    <row r="11" spans="3:8" ht="18" thickTop="1" thickBot="1">
      <c r="C11" s="119" t="s">
        <v>62</v>
      </c>
      <c r="D11" s="64"/>
      <c r="E11" s="67"/>
      <c r="F11" s="124"/>
      <c r="G11" s="62"/>
      <c r="H11" s="124"/>
    </row>
    <row r="12" spans="3:8" ht="17.25" thickBot="1">
      <c r="C12" s="120" t="s">
        <v>65</v>
      </c>
      <c r="D12" s="65"/>
      <c r="E12" s="67"/>
      <c r="F12" s="71"/>
      <c r="G12" s="62"/>
      <c r="H12" s="61"/>
    </row>
    <row r="13" spans="3:8" ht="14.25" thickTop="1" thickBot="1">
      <c r="E13" s="68"/>
      <c r="F13" s="121" t="s">
        <v>71</v>
      </c>
      <c r="G13" s="64"/>
      <c r="H13" s="121" t="s">
        <v>72</v>
      </c>
    </row>
    <row r="14" spans="3:8" ht="13.5" thickBot="1">
      <c r="C14" s="62"/>
      <c r="D14" s="65"/>
      <c r="E14" s="67"/>
      <c r="F14" s="122"/>
      <c r="G14" s="62"/>
      <c r="H14" s="122"/>
    </row>
    <row r="15" spans="3:8" ht="13.5" thickBot="1">
      <c r="C15" s="62"/>
      <c r="D15" s="65"/>
      <c r="E15" s="67"/>
      <c r="F15" s="63"/>
      <c r="G15" s="62"/>
      <c r="H15" s="63"/>
    </row>
    <row r="16" spans="3:8" ht="13.5" thickBot="1">
      <c r="C16" s="62"/>
      <c r="D16" s="65"/>
      <c r="E16" s="68"/>
      <c r="F16" s="69" t="s">
        <v>66</v>
      </c>
      <c r="G16" s="64"/>
      <c r="H16" s="121" t="s">
        <v>67</v>
      </c>
    </row>
    <row r="17" spans="3:8" ht="13.5" thickBot="1">
      <c r="C17" s="62"/>
      <c r="D17" s="62"/>
      <c r="E17" s="67"/>
      <c r="F17" s="70" t="s">
        <v>68</v>
      </c>
      <c r="G17" s="62"/>
      <c r="H17" s="122"/>
    </row>
    <row r="18" spans="3:8" ht="13.5" thickBot="1">
      <c r="E18" s="67"/>
      <c r="F18" s="63"/>
      <c r="G18" s="62"/>
      <c r="H18" s="63"/>
    </row>
    <row r="19" spans="3:8" ht="13.5" thickBot="1">
      <c r="E19" s="68"/>
      <c r="F19" s="121" t="s">
        <v>69</v>
      </c>
      <c r="G19" s="64"/>
      <c r="H19" s="121" t="s">
        <v>70</v>
      </c>
    </row>
    <row r="20" spans="3:8" ht="13.5" thickBot="1">
      <c r="E20" s="62"/>
      <c r="F20" s="122"/>
      <c r="G20" s="62"/>
      <c r="H20" s="122"/>
    </row>
  </sheetData>
  <mergeCells count="10">
    <mergeCell ref="H16:H17"/>
    <mergeCell ref="F19:F20"/>
    <mergeCell ref="H19:H20"/>
    <mergeCell ref="F13:F14"/>
    <mergeCell ref="H13:H14"/>
    <mergeCell ref="F4:F5"/>
    <mergeCell ref="H4:H5"/>
    <mergeCell ref="F7:F8"/>
    <mergeCell ref="F10:F11"/>
    <mergeCell ref="H10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GEmonth</vt:lpstr>
      <vt:lpstr>GenElectric</vt:lpstr>
      <vt:lpstr>Benchmarks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Martínez, Mª del Mar</cp:lastModifiedBy>
  <dcterms:created xsi:type="dcterms:W3CDTF">2001-02-01T12:39:31Z</dcterms:created>
  <dcterms:modified xsi:type="dcterms:W3CDTF">2019-05-16T11:19:04Z</dcterms:modified>
</cp:coreProperties>
</file>