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<sst xmlns="http://schemas.openxmlformats.org/spreadsheetml/2006/main" count="28" uniqueCount="18">
  <si>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Periodo</t>
  </si>
  <si>
    <t>Aumento de valor</t>
  </si>
  <si>
    <t>Creación de valor</t>
  </si>
  <si>
    <t>Rentabilidad para los accionistas</t>
  </si>
  <si>
    <t>Rentabilidad de la bolsa</t>
  </si>
  <si>
    <t>Desde</t>
  </si>
  <si>
    <t>a</t>
  </si>
  <si>
    <t>(Millones euros)</t>
  </si>
  <si>
    <t>anualizada</t>
  </si>
  <si>
    <t>Total</t>
  </si>
  <si>
    <t>Terra</t>
  </si>
  <si>
    <t>Amazon</t>
  </si>
  <si>
    <t>America Online/Time Warner</t>
  </si>
  <si>
    <t>TelePizza</t>
  </si>
  <si>
    <t>Microsoft</t>
  </si>
  <si>
    <t>Yahoo</t>
  </si>
  <si>
    <t>Charles Schwab</t>
  </si>
  <si>
    <t>Nasdaq 100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</si>
</sst>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sz val="8"/>
      <name val="Tms Rmn"/>
      <family val="0"/>
    </font>
    <font>
      <b/>
      <sz val="8"/>
      <name val="Tms Rmn"/>
      <family val="0"/>
    </font>
    <font>
      <sz val="10"/>
      <name val="Times"/>
      <family val="1"/>
    </font>
    <font>
      <sz val="8"/>
      <name val="Times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0" xfId="19" applyFont="1" applyBorder="1" applyAlignment="1">
      <alignment horizontal="center"/>
    </xf>
    <xf numFmtId="9" fontId="1" fillId="0" borderId="11" xfId="19" applyFont="1" applyBorder="1" applyAlignment="1">
      <alignment horizontal="center"/>
    </xf>
    <xf numFmtId="9" fontId="1" fillId="0" borderId="0" xfId="19" applyFont="1" applyAlignment="1">
      <alignment horizontal="center"/>
    </xf>
    <xf numFmtId="3" fontId="1" fillId="0" borderId="12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3" xfId="19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9" fontId="1" fillId="0" borderId="15" xfId="19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9" fontId="1" fillId="0" borderId="12" xfId="1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5" fontId="1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3" fontId="1" fillId="0" borderId="10" xfId="19" applyNumberFormat="1" applyFont="1" applyBorder="1" applyAlignment="1">
      <alignment horizontal="center"/>
    </xf>
    <xf numFmtId="3" fontId="2" fillId="0" borderId="0" xfId="19" applyNumberFormat="1" applyFont="1" applyBorder="1" applyAlignment="1">
      <alignment horizontal="center"/>
    </xf>
    <xf numFmtId="3" fontId="1" fillId="0" borderId="0" xfId="19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14" xfId="0" applyFont="1" applyBorder="1" applyAlignment="1">
      <alignment horizontal="left"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20.7109375" style="1" customWidth="1"/>
    <col min="2" max="2" width="8.28125" style="2" customWidth="1"/>
    <col min="3" max="3" width="0.9921875" style="2" customWidth="1"/>
    <col min="4" max="4" width="8.28125" style="2" customWidth="1"/>
    <col min="5" max="5" width="13.421875" style="3" customWidth="1"/>
    <col min="6" max="6" width="12.8515625" style="3" customWidth="1"/>
    <col min="7" max="8" width="9.7109375" style="2" customWidth="1"/>
    <col min="9" max="9" width="9.57421875" style="2" customWidth="1"/>
    <col min="10" max="10" width="9.421875" style="2" customWidth="1"/>
    <col min="11" max="11" width="2.421875" style="2" customWidth="1"/>
    <col min="12" max="17" width="8.28125" style="2" customWidth="1"/>
    <col min="18" max="18" width="8.7109375" style="1" customWidth="1"/>
    <col min="19" max="16384" width="10.28125" style="1" customWidth="1"/>
  </cols>
  <sheetData>
    <row r="1" spans="2:10" ht="10.5">
      <c r="B1" s="4"/>
      <c r="C1" s="5" t="s">
        <v>0</v>
      </c>
      <c r="D1" s="6"/>
      <c r="E1" s="7" t="s">
        <v>1</v>
      </c>
      <c r="F1" s="7" t="s">
        <v>2</v>
      </c>
      <c r="G1" s="8" t="s">
        <v>3</v>
      </c>
      <c r="H1" s="9"/>
      <c r="I1" s="8" t="s">
        <v>4</v>
      </c>
      <c r="J1" s="9"/>
    </row>
    <row r="2" spans="2:10" ht="14.25" customHeight="1" thickBot="1">
      <c r="B2" s="10" t="s">
        <v>5</v>
      </c>
      <c r="C2" s="11"/>
      <c r="D2" s="12" t="s">
        <v>6</v>
      </c>
      <c r="E2" s="13" t="s">
        <v>7</v>
      </c>
      <c r="F2" s="13" t="s">
        <v>7</v>
      </c>
      <c r="G2" s="10" t="s">
        <v>8</v>
      </c>
      <c r="H2" s="12" t="s">
        <v>9</v>
      </c>
      <c r="I2" s="10" t="s">
        <v>8</v>
      </c>
      <c r="J2" s="12" t="s">
        <v>9</v>
      </c>
    </row>
    <row r="3" spans="1:19" s="25" customFormat="1" ht="14.25" customHeight="1">
      <c r="A3" s="14" t="s">
        <v>10</v>
      </c>
      <c r="B3" s="24">
        <v>36481</v>
      </c>
      <c r="C3" s="24"/>
      <c r="D3" s="24">
        <v>36581</v>
      </c>
      <c r="E3" s="15">
        <f>275.5*(139.75-13)</f>
        <v>34919.625</v>
      </c>
      <c r="F3" s="15">
        <f>E3-275*13*(1.13^((D3-B3)/365)-1)</f>
        <v>34797.8919909165</v>
      </c>
      <c r="G3" s="16">
        <f>(1+H3)^(365/(D3-B3))-1</f>
        <v>5815.220924842742</v>
      </c>
      <c r="H3" s="17">
        <v>9.75</v>
      </c>
      <c r="I3" s="17">
        <f>(1+J3)^(365/(D3-B3))-1</f>
        <v>0.9399322689490444</v>
      </c>
      <c r="J3" s="18">
        <v>0.19907303018915212</v>
      </c>
      <c r="K3" s="23"/>
      <c r="L3" s="23"/>
      <c r="M3" s="23"/>
      <c r="N3" s="23"/>
      <c r="O3" s="23"/>
      <c r="P3" s="23"/>
      <c r="Q3" s="23"/>
      <c r="R3" s="1"/>
      <c r="S3" s="1"/>
    </row>
    <row r="4" spans="1:17" ht="10.5">
      <c r="A4" s="26"/>
      <c r="B4" s="27">
        <v>36581</v>
      </c>
      <c r="C4" s="27"/>
      <c r="D4" s="27">
        <v>37993</v>
      </c>
      <c r="E4" s="28">
        <f>275.5*(11.6-139.75)</f>
        <v>-35305.325000000004</v>
      </c>
      <c r="F4" s="28">
        <f>E4-275*139.75*(1.13^((D4-B4)/365)-1)</f>
        <v>-58536.145784029315</v>
      </c>
      <c r="G4" s="29">
        <f aca="true" t="shared" si="0" ref="G4:G39">(1+H4)^(365/(D4-B4))-1</f>
        <v>-0.5792024708936028</v>
      </c>
      <c r="H4" s="30">
        <v>-0.964865831842576</v>
      </c>
      <c r="I4" s="23">
        <f>(1+J4)^(365/(D4-B4))-1</f>
        <v>-0.09121462127619773</v>
      </c>
      <c r="J4" s="31">
        <v>-0.30927059610120977</v>
      </c>
      <c r="K4" s="23"/>
      <c r="L4" s="23"/>
      <c r="M4" s="23"/>
      <c r="N4" s="23"/>
      <c r="O4" s="23"/>
      <c r="P4" s="23"/>
      <c r="Q4" s="23"/>
    </row>
    <row r="5" spans="1:17" ht="11.25" thickBot="1">
      <c r="A5" s="32" t="s">
        <v>9</v>
      </c>
      <c r="B5" s="27">
        <v>36481</v>
      </c>
      <c r="C5" s="27"/>
      <c r="D5" s="27">
        <v>37993</v>
      </c>
      <c r="E5" s="28">
        <f>E3+E4</f>
        <v>-385.70000000000437</v>
      </c>
      <c r="F5" s="28">
        <f>F3+F4</f>
        <v>-23738.253793112817</v>
      </c>
      <c r="G5" s="21">
        <f t="shared" si="0"/>
        <v>-0.20946654825331734</v>
      </c>
      <c r="H5" s="33">
        <v>-0.6223076923076922</v>
      </c>
      <c r="I5" s="21">
        <f>(1+J5)^(365/(D5-B5))-1</f>
        <v>-0.04447489777545688</v>
      </c>
      <c r="J5" s="22">
        <v>-0.17176500062633093</v>
      </c>
      <c r="K5" s="23"/>
      <c r="L5" s="23"/>
      <c r="M5" s="23"/>
      <c r="N5" s="23"/>
      <c r="O5" s="23"/>
      <c r="P5" s="23"/>
      <c r="Q5" s="23"/>
    </row>
    <row r="6" spans="1:17" ht="10.5">
      <c r="A6" s="14" t="s">
        <v>11</v>
      </c>
      <c r="B6" s="24">
        <v>35565</v>
      </c>
      <c r="C6" s="24"/>
      <c r="D6" s="24">
        <v>36504</v>
      </c>
      <c r="E6" s="15">
        <f>340*(106.7-1.5)-1030</f>
        <v>34738</v>
      </c>
      <c r="F6" s="15">
        <f>E6-340*1.5*(1.13^((D6-B6)/365)-1)</f>
        <v>34549.57476077718</v>
      </c>
      <c r="G6" s="16">
        <f t="shared" si="0"/>
        <v>4.2469402634526645</v>
      </c>
      <c r="H6" s="17">
        <v>70.12666666666667</v>
      </c>
      <c r="I6" s="16">
        <f aca="true" t="shared" si="1" ref="I6:I39">(1+J6)^(365/(D6-B6))-1</f>
        <v>0.24234868720119485</v>
      </c>
      <c r="J6" s="18">
        <v>0.7476364745349193</v>
      </c>
      <c r="K6" s="34"/>
      <c r="L6" s="34"/>
      <c r="M6" s="34"/>
      <c r="N6" s="34"/>
      <c r="O6" s="34"/>
      <c r="P6" s="34"/>
      <c r="Q6" s="34"/>
    </row>
    <row r="7" spans="1:18" ht="10.5">
      <c r="A7" s="26"/>
      <c r="B7" s="27">
        <v>36504</v>
      </c>
      <c r="C7" s="27"/>
      <c r="D7" s="27">
        <v>37162</v>
      </c>
      <c r="E7" s="35">
        <f>345*(R8-R7)</f>
        <v>-34748.4</v>
      </c>
      <c r="F7" s="35">
        <f>E7-345*(R7)*(1.13^((D7-B7)/365)-1)</f>
        <v>-43820.98593444513</v>
      </c>
      <c r="G7" s="29">
        <f t="shared" si="0"/>
        <v>-0.7979687016775696</v>
      </c>
      <c r="H7" s="30">
        <v>-0.9440434904864561</v>
      </c>
      <c r="I7" s="29">
        <f t="shared" si="1"/>
        <v>-0.14704163685423122</v>
      </c>
      <c r="J7" s="31">
        <v>-0.24927503502928083</v>
      </c>
      <c r="K7" s="34"/>
      <c r="L7" s="34"/>
      <c r="M7" s="34"/>
      <c r="N7" s="34"/>
      <c r="O7" s="34"/>
      <c r="P7" s="34"/>
      <c r="Q7" s="34"/>
      <c r="R7" s="1">
        <v>106.69</v>
      </c>
    </row>
    <row r="8" spans="1:18" ht="10.5">
      <c r="A8" s="26"/>
      <c r="B8" s="27">
        <v>37162</v>
      </c>
      <c r="C8" s="27"/>
      <c r="D8" s="27">
        <v>37993</v>
      </c>
      <c r="E8" s="28"/>
      <c r="F8" s="28"/>
      <c r="G8" s="29">
        <f t="shared" si="0"/>
        <v>1.5487115035241867</v>
      </c>
      <c r="H8" s="23">
        <v>7.415410385259632</v>
      </c>
      <c r="I8" s="29">
        <f t="shared" si="1"/>
        <v>0.05283499050772855</v>
      </c>
      <c r="J8" s="31">
        <v>0.12436674893518096</v>
      </c>
      <c r="K8" s="34"/>
      <c r="L8" s="34"/>
      <c r="M8" s="34"/>
      <c r="N8" s="34"/>
      <c r="O8" s="34"/>
      <c r="P8" s="34"/>
      <c r="Q8" s="34"/>
      <c r="R8" s="1">
        <v>5.97</v>
      </c>
    </row>
    <row r="9" spans="1:18" ht="11.25" thickBot="1">
      <c r="A9" s="36" t="s">
        <v>9</v>
      </c>
      <c r="B9" s="37">
        <v>35565</v>
      </c>
      <c r="C9" s="37"/>
      <c r="D9" s="37">
        <v>37993</v>
      </c>
      <c r="E9" s="20">
        <f>E6+E7</f>
        <v>-10.400000000001455</v>
      </c>
      <c r="F9" s="38">
        <f>F6+F7</f>
        <v>-9271.411173667955</v>
      </c>
      <c r="G9" s="21">
        <f t="shared" si="0"/>
        <v>0.6952986383839328</v>
      </c>
      <c r="H9" s="33">
        <v>32.49333333333333</v>
      </c>
      <c r="I9" s="21">
        <f t="shared" si="1"/>
        <v>0.060184923001529</v>
      </c>
      <c r="J9" s="22">
        <v>0.4751628007104032</v>
      </c>
      <c r="K9" s="34"/>
      <c r="L9" s="34"/>
      <c r="M9" s="34"/>
      <c r="N9" s="34"/>
      <c r="O9" s="34"/>
      <c r="P9" s="34"/>
      <c r="Q9" s="34"/>
      <c r="R9" s="1">
        <v>50.24</v>
      </c>
    </row>
    <row r="10" spans="1:20" ht="10.5">
      <c r="A10" s="14" t="s">
        <v>12</v>
      </c>
      <c r="B10" s="24">
        <v>33682</v>
      </c>
      <c r="C10" s="24"/>
      <c r="D10" s="24">
        <v>35192</v>
      </c>
      <c r="E10" s="15">
        <v>8307</v>
      </c>
      <c r="F10" s="15">
        <v>6933</v>
      </c>
      <c r="G10" s="16">
        <f t="shared" si="0"/>
        <v>1.3858345759238913</v>
      </c>
      <c r="H10" s="17">
        <v>35.5</v>
      </c>
      <c r="I10" s="17">
        <f t="shared" si="1"/>
        <v>0.1236844159944448</v>
      </c>
      <c r="J10" s="18">
        <v>0.62</v>
      </c>
      <c r="R10" s="1">
        <v>0.12</v>
      </c>
      <c r="T10" s="39">
        <f>T11/(1+H11)</f>
        <v>8450.911416693314</v>
      </c>
    </row>
    <row r="11" spans="1:20" ht="10.5">
      <c r="A11" s="26"/>
      <c r="B11" s="27">
        <v>35192</v>
      </c>
      <c r="C11" s="27"/>
      <c r="D11" s="27">
        <v>35352</v>
      </c>
      <c r="E11" s="28">
        <f>T10*H11</f>
        <v>-5711.11821767402</v>
      </c>
      <c r="F11" s="28">
        <f>E11-T10*(1.13^((D11-B11)/365)-1)</f>
        <v>-6176.222249691466</v>
      </c>
      <c r="G11" s="29">
        <f t="shared" si="0"/>
        <v>-0.9234324111732565</v>
      </c>
      <c r="H11" s="30">
        <v>-0.6757990867579908</v>
      </c>
      <c r="I11" s="23">
        <f t="shared" si="1"/>
        <v>0.16689490299305865</v>
      </c>
      <c r="J11" s="31">
        <v>0.07</v>
      </c>
      <c r="R11" s="1">
        <v>4.38</v>
      </c>
      <c r="T11" s="39">
        <f>T12/(1+H12)</f>
        <v>2739.7931990192938</v>
      </c>
    </row>
    <row r="12" spans="1:20" ht="10.5">
      <c r="A12" s="26"/>
      <c r="B12" s="27">
        <v>35352</v>
      </c>
      <c r="C12" s="27"/>
      <c r="D12" s="27">
        <v>36256</v>
      </c>
      <c r="E12" s="35">
        <f>T11*H12</f>
        <v>158850.1225882102</v>
      </c>
      <c r="F12" s="35">
        <f>E12-T11*(1.13^((D12-B12)/365)-1)</f>
        <v>157881.59053390875</v>
      </c>
      <c r="G12" s="29">
        <f t="shared" si="0"/>
        <v>4.187263237489294</v>
      </c>
      <c r="H12" s="23">
        <v>57.97887323943662</v>
      </c>
      <c r="I12" s="23">
        <f t="shared" si="1"/>
        <v>0.30132569448661095</v>
      </c>
      <c r="J12" s="31">
        <v>0.92</v>
      </c>
      <c r="R12" s="1">
        <v>1.42</v>
      </c>
      <c r="T12" s="39">
        <f>T13/(1+H13)</f>
        <v>161589.9157872295</v>
      </c>
    </row>
    <row r="13" spans="1:20" ht="10.5">
      <c r="A13" s="26"/>
      <c r="B13" s="27">
        <v>36256</v>
      </c>
      <c r="C13" s="27"/>
      <c r="D13" s="27">
        <v>36423</v>
      </c>
      <c r="E13" s="28">
        <f>T12*H13</f>
        <v>-81692.14369470204</v>
      </c>
      <c r="F13" s="28">
        <f>E13-T12*(1.13^((D13-B13)/365)-1)</f>
        <v>-90985.46416062122</v>
      </c>
      <c r="G13" s="29">
        <f t="shared" si="0"/>
        <v>-0.7854834583505901</v>
      </c>
      <c r="H13" s="30">
        <v>-0.5055522388059701</v>
      </c>
      <c r="I13" s="23">
        <f t="shared" si="1"/>
        <v>0</v>
      </c>
      <c r="J13" s="31">
        <v>0</v>
      </c>
      <c r="R13" s="1">
        <v>83.75</v>
      </c>
      <c r="T13" s="39">
        <f>T14/(1+H14)</f>
        <v>79897.77209252745</v>
      </c>
    </row>
    <row r="14" spans="1:20" ht="10.5">
      <c r="A14" s="26"/>
      <c r="B14" s="27">
        <v>36423</v>
      </c>
      <c r="C14" s="27"/>
      <c r="D14" s="27">
        <v>36507</v>
      </c>
      <c r="E14" s="35">
        <f>T13*H14</f>
        <v>101102.22790747257</v>
      </c>
      <c r="F14" s="35">
        <f>E14-T13*(1.13^((D14-B14)/365)-1)</f>
        <v>98823.05680097148</v>
      </c>
      <c r="G14" s="29">
        <f t="shared" si="0"/>
        <v>33.92889344388769</v>
      </c>
      <c r="H14" s="23">
        <v>1.2653948321661437</v>
      </c>
      <c r="I14" s="23">
        <f t="shared" si="1"/>
        <v>0.39712149890728843</v>
      </c>
      <c r="J14" s="31">
        <v>0.08</v>
      </c>
      <c r="K14" s="34"/>
      <c r="L14" s="34"/>
      <c r="M14" s="34"/>
      <c r="N14" s="34"/>
      <c r="O14" s="34"/>
      <c r="P14" s="34"/>
      <c r="Q14" s="34"/>
      <c r="R14" s="1">
        <v>41.41</v>
      </c>
      <c r="T14" s="39">
        <f>181000</f>
        <v>181000</v>
      </c>
    </row>
    <row r="15" spans="1:20" ht="10.5">
      <c r="A15" s="26"/>
      <c r="B15" s="27">
        <v>36507</v>
      </c>
      <c r="C15" s="27"/>
      <c r="D15" s="27">
        <v>37462</v>
      </c>
      <c r="E15" s="28"/>
      <c r="F15" s="28"/>
      <c r="G15" s="29">
        <f t="shared" si="0"/>
        <v>-0.5808961433118466</v>
      </c>
      <c r="H15" s="30">
        <v>-0.8972391003091355</v>
      </c>
      <c r="I15" s="23">
        <f t="shared" si="1"/>
        <v>-0.18629452953468273</v>
      </c>
      <c r="J15" s="31">
        <v>-0.4169</v>
      </c>
      <c r="K15" s="34"/>
      <c r="L15" s="34"/>
      <c r="M15" s="34"/>
      <c r="N15" s="34"/>
      <c r="O15" s="34"/>
      <c r="P15" s="34"/>
      <c r="Q15" s="34"/>
      <c r="R15" s="1">
        <v>93.81</v>
      </c>
      <c r="T15" s="40">
        <f>113000*95.81/48.96</f>
        <v>221130.1062091503</v>
      </c>
    </row>
    <row r="16" spans="1:20" ht="10.5">
      <c r="A16" s="26"/>
      <c r="B16" s="27">
        <v>37462</v>
      </c>
      <c r="C16" s="27"/>
      <c r="D16" s="27">
        <v>37993</v>
      </c>
      <c r="E16" s="28"/>
      <c r="F16" s="28"/>
      <c r="G16" s="29">
        <f t="shared" si="0"/>
        <v>0.5460415122412168</v>
      </c>
      <c r="H16" s="23">
        <v>0.8848547717842323</v>
      </c>
      <c r="I16" s="23">
        <f t="shared" si="1"/>
        <v>0.2474264621043334</v>
      </c>
      <c r="J16" s="31">
        <v>0.37937397255678196</v>
      </c>
      <c r="K16" s="34"/>
      <c r="L16" s="34"/>
      <c r="M16" s="34"/>
      <c r="N16" s="34"/>
      <c r="O16" s="34"/>
      <c r="P16" s="34"/>
      <c r="Q16" s="34"/>
      <c r="R16" s="1">
        <v>9.64</v>
      </c>
      <c r="T16" s="40"/>
    </row>
    <row r="17" spans="1:18" ht="11.25" thickBot="1">
      <c r="A17" s="36" t="s">
        <v>9</v>
      </c>
      <c r="B17" s="37">
        <v>33682</v>
      </c>
      <c r="C17" s="37"/>
      <c r="D17" s="37">
        <v>37993</v>
      </c>
      <c r="E17" s="20">
        <f>SUM(E10:E15)</f>
        <v>180856.0885833067</v>
      </c>
      <c r="F17" s="38">
        <f>SUM(F10:F15)</f>
        <v>166475.96092456754</v>
      </c>
      <c r="G17" s="21">
        <f t="shared" si="0"/>
        <v>0.5296393587504198</v>
      </c>
      <c r="H17" s="33">
        <v>150.41666666666669</v>
      </c>
      <c r="I17" s="33">
        <f t="shared" si="1"/>
        <v>0.06465575577912652</v>
      </c>
      <c r="J17" s="22">
        <v>1.095881951744</v>
      </c>
      <c r="K17" s="34"/>
      <c r="L17" s="34"/>
      <c r="M17" s="34"/>
      <c r="N17" s="34"/>
      <c r="O17" s="34"/>
      <c r="P17" s="34"/>
      <c r="Q17" s="34"/>
      <c r="R17" s="1">
        <v>18.17</v>
      </c>
    </row>
    <row r="18" spans="1:19" ht="10.5">
      <c r="A18" s="14" t="s">
        <v>13</v>
      </c>
      <c r="B18" s="24">
        <v>35382</v>
      </c>
      <c r="C18" s="24"/>
      <c r="D18" s="24">
        <v>35947</v>
      </c>
      <c r="E18" s="41">
        <f>(9.92-0.69)*214.7</f>
        <v>1981.681</v>
      </c>
      <c r="F18" s="15">
        <f>E18-214.7*(1.13^((D18-B18)/365)-1)</f>
        <v>1936.9663093462232</v>
      </c>
      <c r="G18" s="16">
        <f t="shared" si="0"/>
        <v>4.318803716433969</v>
      </c>
      <c r="H18" s="17">
        <v>12.28985507246377</v>
      </c>
      <c r="I18" s="17">
        <f t="shared" si="1"/>
        <v>0.7393675082758375</v>
      </c>
      <c r="J18" s="18">
        <v>1.3556601896677498</v>
      </c>
      <c r="K18" s="19"/>
      <c r="L18" s="19"/>
      <c r="M18" s="19"/>
      <c r="N18" s="19"/>
      <c r="O18" s="19"/>
      <c r="P18" s="19"/>
      <c r="Q18" s="19"/>
      <c r="R18" s="1">
        <v>0.69</v>
      </c>
      <c r="S18" s="1">
        <v>301.58</v>
      </c>
    </row>
    <row r="19" spans="1:19" ht="10.5">
      <c r="A19" s="26"/>
      <c r="B19" s="27">
        <v>35947</v>
      </c>
      <c r="C19" s="27"/>
      <c r="D19" s="27">
        <v>36434</v>
      </c>
      <c r="E19" s="42">
        <f>(4.37-9.92)*214.7</f>
        <v>-1191.5849999999998</v>
      </c>
      <c r="F19" s="28">
        <f>E19-214.7*9.92*(1.13^((D19-B19)/365)-1)</f>
        <v>-1568.8136122836208</v>
      </c>
      <c r="G19" s="29">
        <f t="shared" si="0"/>
        <v>-0.4360841445612641</v>
      </c>
      <c r="H19" s="30">
        <v>-0.5343511450381679</v>
      </c>
      <c r="I19" s="23">
        <f t="shared" si="1"/>
        <v>-0.0007280323331397831</v>
      </c>
      <c r="J19" s="31">
        <v>-0.0009712564398524082</v>
      </c>
      <c r="K19" s="23"/>
      <c r="L19" s="23"/>
      <c r="M19" s="23"/>
      <c r="N19" s="23"/>
      <c r="O19" s="23"/>
      <c r="P19" s="23"/>
      <c r="Q19" s="23"/>
      <c r="R19" s="1">
        <v>9.17</v>
      </c>
      <c r="S19" s="1">
        <v>710.42</v>
      </c>
    </row>
    <row r="20" spans="1:19" ht="10.5">
      <c r="A20" s="26"/>
      <c r="B20" s="27">
        <v>36434</v>
      </c>
      <c r="C20" s="27"/>
      <c r="D20" s="27">
        <v>36609</v>
      </c>
      <c r="E20" s="43">
        <f>(10.55-4.37)*220</f>
        <v>1359.6000000000001</v>
      </c>
      <c r="F20" s="35">
        <f>E20-214.7*9.92*(1.13^((D20-B20)/365)-1)</f>
        <v>1231.0686156424674</v>
      </c>
      <c r="G20" s="29">
        <f t="shared" si="0"/>
        <v>5.596595404699625</v>
      </c>
      <c r="H20" s="30">
        <v>1.4707259953161596</v>
      </c>
      <c r="I20" s="23">
        <f t="shared" si="1"/>
        <v>0.7253154702948252</v>
      </c>
      <c r="J20" s="31">
        <v>0.29887421977371686</v>
      </c>
      <c r="K20" s="23"/>
      <c r="L20" s="23"/>
      <c r="M20" s="23"/>
      <c r="N20" s="23"/>
      <c r="O20" s="23"/>
      <c r="P20" s="23"/>
      <c r="Q20" s="23"/>
      <c r="R20" s="1">
        <v>4.27</v>
      </c>
      <c r="S20" s="1">
        <v>709.73</v>
      </c>
    </row>
    <row r="21" spans="1:19" s="25" customFormat="1" ht="12.75" customHeight="1">
      <c r="A21" s="26"/>
      <c r="B21" s="27">
        <v>36609</v>
      </c>
      <c r="C21" s="27"/>
      <c r="D21" s="27">
        <v>37657</v>
      </c>
      <c r="E21" s="42">
        <f>(2.52-10.55)*220</f>
        <v>-1766.6000000000004</v>
      </c>
      <c r="F21" s="28">
        <f>E21-214.7*9.92*(1.13^((D21-B21)/365)-1)</f>
        <v>-2661.9077141153402</v>
      </c>
      <c r="G21" s="29">
        <f t="shared" si="0"/>
        <v>-0.6055273608575845</v>
      </c>
      <c r="H21" s="30">
        <v>-0.9308056872037915</v>
      </c>
      <c r="I21" s="23">
        <f t="shared" si="1"/>
        <v>-0.19602949761207134</v>
      </c>
      <c r="J21" s="31">
        <v>-0.4655312686445734</v>
      </c>
      <c r="K21" s="23"/>
      <c r="L21" s="23"/>
      <c r="M21" s="23"/>
      <c r="N21" s="23"/>
      <c r="O21" s="23"/>
      <c r="P21" s="23"/>
      <c r="Q21" s="23"/>
      <c r="R21" s="25">
        <v>10.55</v>
      </c>
      <c r="S21" s="25">
        <v>921.85</v>
      </c>
    </row>
    <row r="22" spans="1:19" s="25" customFormat="1" ht="12.75" customHeight="1">
      <c r="A22" s="26"/>
      <c r="B22" s="27">
        <v>37657</v>
      </c>
      <c r="C22" s="27"/>
      <c r="D22" s="27">
        <v>37993</v>
      </c>
      <c r="E22" s="42"/>
      <c r="F22" s="28"/>
      <c r="G22" s="29">
        <f t="shared" si="0"/>
        <v>0.8248898238101441</v>
      </c>
      <c r="H22" s="30">
        <v>0.7397260273972603</v>
      </c>
      <c r="I22" s="23">
        <f t="shared" si="1"/>
        <v>0.37645519140916184</v>
      </c>
      <c r="J22" s="31">
        <v>0.34195250659630605</v>
      </c>
      <c r="K22" s="23"/>
      <c r="L22" s="23"/>
      <c r="M22" s="23"/>
      <c r="N22" s="23"/>
      <c r="O22" s="23"/>
      <c r="P22" s="23"/>
      <c r="Q22" s="23"/>
      <c r="R22" s="25">
        <v>0.73</v>
      </c>
      <c r="S22" s="25">
        <v>492.7</v>
      </c>
    </row>
    <row r="23" spans="1:19" ht="12.75" customHeight="1" thickBot="1">
      <c r="A23" s="36" t="s">
        <v>9</v>
      </c>
      <c r="B23" s="37">
        <v>35382</v>
      </c>
      <c r="C23" s="37"/>
      <c r="D23" s="37">
        <v>37657</v>
      </c>
      <c r="E23" s="20">
        <f>E18+E19+E20+E21</f>
        <v>383.096</v>
      </c>
      <c r="F23" s="38">
        <f>F18+F19+F20+F21</f>
        <v>-1062.6864014102705</v>
      </c>
      <c r="G23" s="21">
        <f t="shared" si="0"/>
        <v>0.10283160694248461</v>
      </c>
      <c r="H23" s="33">
        <v>0.8405797101449277</v>
      </c>
      <c r="I23" s="21">
        <f t="shared" si="1"/>
        <v>0.13421817200833885</v>
      </c>
      <c r="J23" s="22">
        <v>1.1923867630479474</v>
      </c>
      <c r="K23" s="34"/>
      <c r="L23" s="34"/>
      <c r="M23" s="34"/>
      <c r="N23" s="34"/>
      <c r="O23" s="34"/>
      <c r="P23" s="34"/>
      <c r="Q23" s="34"/>
      <c r="R23" s="1">
        <v>1.27</v>
      </c>
      <c r="S23" s="1">
        <v>661.18</v>
      </c>
    </row>
    <row r="24" spans="1:19" ht="10.5">
      <c r="A24" s="14" t="s">
        <v>14</v>
      </c>
      <c r="B24" s="24">
        <v>31484</v>
      </c>
      <c r="C24" s="24"/>
      <c r="D24" s="24">
        <v>36521</v>
      </c>
      <c r="E24" s="15">
        <f>(5177*(120-0.1)-5000-3000-1000)</f>
        <v>611722.3</v>
      </c>
      <c r="F24" s="15">
        <f>E24-30000*(1.13^((D24-B24)/365)-1)</f>
        <v>479689.1873764147</v>
      </c>
      <c r="G24" s="16">
        <f t="shared" si="0"/>
        <v>0.5888528346205448</v>
      </c>
      <c r="H24" s="17">
        <v>594.6</v>
      </c>
      <c r="I24" s="17">
        <f t="shared" si="1"/>
        <v>0.17429035466049414</v>
      </c>
      <c r="J24" s="18">
        <v>8.18125</v>
      </c>
      <c r="K24" s="34"/>
      <c r="L24" s="34"/>
      <c r="M24" s="34"/>
      <c r="N24" s="34"/>
      <c r="O24" s="34"/>
      <c r="P24" s="34"/>
      <c r="Q24" s="34"/>
      <c r="R24" s="1">
        <v>0.1</v>
      </c>
      <c r="S24" s="44">
        <v>218.31123213070114</v>
      </c>
    </row>
    <row r="25" spans="1:19" s="25" customFormat="1" ht="10.5">
      <c r="A25" s="26"/>
      <c r="B25" s="27">
        <v>36521</v>
      </c>
      <c r="C25" s="27"/>
      <c r="D25" s="27">
        <v>36880</v>
      </c>
      <c r="E25" s="28">
        <f>(5177*(43.375-120))</f>
        <v>-396687.625</v>
      </c>
      <c r="F25" s="28">
        <f>E25-(5177*120)*(1.13^((D25-B25)/365)-1)</f>
        <v>-476039.8803906863</v>
      </c>
      <c r="G25" s="29">
        <f t="shared" si="0"/>
        <v>-0.6576976539580157</v>
      </c>
      <c r="H25" s="30">
        <v>-0.6516118200134318</v>
      </c>
      <c r="I25" s="23">
        <f t="shared" si="1"/>
        <v>-0.12401691564238437</v>
      </c>
      <c r="J25" s="31">
        <v>-0.12210819359699054</v>
      </c>
      <c r="K25" s="34"/>
      <c r="L25" s="34"/>
      <c r="M25" s="34"/>
      <c r="N25" s="34"/>
      <c r="O25" s="34"/>
      <c r="P25" s="34"/>
      <c r="Q25" s="34"/>
      <c r="R25" s="25">
        <v>59.56</v>
      </c>
      <c r="S25" s="25">
        <v>2004.37</v>
      </c>
    </row>
    <row r="26" spans="1:19" s="25" customFormat="1" ht="10.5">
      <c r="A26" s="26"/>
      <c r="B26" s="27">
        <v>36514</v>
      </c>
      <c r="C26" s="27"/>
      <c r="D26" s="27">
        <v>37993</v>
      </c>
      <c r="E26" s="28"/>
      <c r="F26" s="28"/>
      <c r="G26" s="29">
        <f t="shared" si="0"/>
        <v>0.07874268341683321</v>
      </c>
      <c r="H26" s="23">
        <v>0.35951807228915666</v>
      </c>
      <c r="I26" s="23">
        <f t="shared" si="1"/>
        <v>-0.01654467080799904</v>
      </c>
      <c r="J26" s="31">
        <v>-0.0653663859242336</v>
      </c>
      <c r="K26" s="34"/>
      <c r="L26" s="34"/>
      <c r="M26" s="34"/>
      <c r="N26" s="34"/>
      <c r="O26" s="34"/>
      <c r="P26" s="34"/>
      <c r="Q26" s="34"/>
      <c r="R26" s="25">
        <v>20.75</v>
      </c>
      <c r="S26" s="25">
        <v>1759.62</v>
      </c>
    </row>
    <row r="27" spans="1:19" ht="11.25" thickBot="1">
      <c r="A27" s="36" t="s">
        <v>9</v>
      </c>
      <c r="B27" s="37">
        <v>31484</v>
      </c>
      <c r="C27" s="37"/>
      <c r="D27" s="37">
        <v>37993</v>
      </c>
      <c r="E27" s="20">
        <f>E24+E25</f>
        <v>215034.67500000005</v>
      </c>
      <c r="F27" s="38">
        <f>F24+F25</f>
        <v>3649.3069857284427</v>
      </c>
      <c r="G27" s="21">
        <f t="shared" si="0"/>
        <v>0.3721743565361164</v>
      </c>
      <c r="H27" s="33">
        <v>281.1</v>
      </c>
      <c r="I27" s="21">
        <f t="shared" si="1"/>
        <v>0.11989664503863917</v>
      </c>
      <c r="J27" s="22">
        <v>6.533281654584733</v>
      </c>
      <c r="K27" s="34"/>
      <c r="L27" s="34"/>
      <c r="M27" s="34"/>
      <c r="N27" s="34"/>
      <c r="O27" s="34"/>
      <c r="P27" s="34"/>
      <c r="Q27" s="34"/>
      <c r="R27" s="1">
        <v>28.21</v>
      </c>
      <c r="S27" s="1">
        <v>1644.6</v>
      </c>
    </row>
    <row r="28" spans="1:20" ht="12.75" customHeight="1">
      <c r="A28" s="14" t="s">
        <v>15</v>
      </c>
      <c r="B28" s="24">
        <v>35167</v>
      </c>
      <c r="C28" s="24"/>
      <c r="D28" s="24">
        <v>36528</v>
      </c>
      <c r="E28" s="15">
        <f>(5177*(120-0.1)-5000-3000-1000)</f>
        <v>611722.3</v>
      </c>
      <c r="F28" s="15">
        <f>E28-30000*(1.13^((D28-B28)/365)-1)</f>
        <v>594402.9892893216</v>
      </c>
      <c r="G28" s="17">
        <f t="shared" si="0"/>
        <v>2.3059418761820103</v>
      </c>
      <c r="H28" s="17">
        <v>85.36363636363636</v>
      </c>
      <c r="I28" s="17">
        <f t="shared" si="1"/>
        <v>0.26888676539463674</v>
      </c>
      <c r="J28" s="18">
        <v>1.4301875341384958</v>
      </c>
      <c r="K28" s="34"/>
      <c r="L28" s="34"/>
      <c r="M28" s="34"/>
      <c r="N28" s="34"/>
      <c r="O28" s="34"/>
      <c r="P28" s="34"/>
      <c r="Q28" s="34"/>
      <c r="R28" s="1">
        <v>2.75</v>
      </c>
      <c r="S28" s="44">
        <v>823.85</v>
      </c>
      <c r="T28" s="45">
        <v>576.23</v>
      </c>
    </row>
    <row r="29" spans="1:20" ht="12.75" customHeight="1">
      <c r="A29" s="26"/>
      <c r="B29" s="27">
        <v>36528</v>
      </c>
      <c r="C29" s="27"/>
      <c r="D29" s="27">
        <v>37160</v>
      </c>
      <c r="E29" s="28">
        <f>(5177*(43.375-120))</f>
        <v>-396687.625</v>
      </c>
      <c r="F29" s="28">
        <f>E29-(5177*120)*(1.13^((D29-B29)/365)-1)</f>
        <v>-543100.8865721588</v>
      </c>
      <c r="G29" s="29">
        <f t="shared" si="0"/>
        <v>-0.8577777996237452</v>
      </c>
      <c r="H29" s="30">
        <v>-0.9658526315789474</v>
      </c>
      <c r="I29" s="23">
        <f t="shared" si="1"/>
        <v>-0.1816302568130378</v>
      </c>
      <c r="J29" s="31">
        <v>-0.29324063113415344</v>
      </c>
      <c r="K29" s="34"/>
      <c r="L29" s="34"/>
      <c r="M29" s="34"/>
      <c r="N29" s="34"/>
      <c r="O29" s="34"/>
      <c r="P29" s="34"/>
      <c r="Q29" s="34"/>
      <c r="R29" s="1">
        <v>237.5</v>
      </c>
      <c r="S29" s="25">
        <v>2002.11</v>
      </c>
      <c r="T29" s="45">
        <v>4587.13</v>
      </c>
    </row>
    <row r="30" spans="1:20" ht="12.75" customHeight="1">
      <c r="A30" s="26"/>
      <c r="B30" s="27">
        <v>36514</v>
      </c>
      <c r="C30" s="27"/>
      <c r="D30" s="27">
        <v>37993</v>
      </c>
      <c r="E30" s="28"/>
      <c r="F30" s="28"/>
      <c r="G30" s="29">
        <f t="shared" si="0"/>
        <v>0.5482304723056612</v>
      </c>
      <c r="H30" s="23">
        <v>4.877928483353885</v>
      </c>
      <c r="I30" s="23">
        <f t="shared" si="1"/>
        <v>0.03780431555975561</v>
      </c>
      <c r="J30" s="31">
        <v>0.16225327029490955</v>
      </c>
      <c r="K30" s="34"/>
      <c r="L30" s="34"/>
      <c r="M30" s="34"/>
      <c r="N30" s="34"/>
      <c r="O30" s="34"/>
      <c r="P30" s="34"/>
      <c r="Q30" s="34"/>
      <c r="R30" s="1">
        <v>8.11</v>
      </c>
      <c r="S30" s="25">
        <v>1415.01</v>
      </c>
      <c r="T30" s="45">
        <v>1514.26</v>
      </c>
    </row>
    <row r="31" spans="1:19" ht="12.75" customHeight="1" thickBot="1">
      <c r="A31" s="36" t="s">
        <v>9</v>
      </c>
      <c r="B31" s="37">
        <v>35167</v>
      </c>
      <c r="C31" s="37"/>
      <c r="D31" s="37">
        <v>37993</v>
      </c>
      <c r="E31" s="20">
        <f>E28+E29</f>
        <v>215034.67500000005</v>
      </c>
      <c r="F31" s="38">
        <f>F28+F29</f>
        <v>51302.10271716281</v>
      </c>
      <c r="G31" s="21">
        <f t="shared" si="0"/>
        <v>0.44549046936255854</v>
      </c>
      <c r="H31" s="33">
        <v>16.334545454545456</v>
      </c>
      <c r="I31" s="21">
        <f t="shared" si="1"/>
        <v>0.09338911385550253</v>
      </c>
      <c r="J31" s="22">
        <v>0.9962371790981366</v>
      </c>
      <c r="K31" s="34"/>
      <c r="L31" s="34"/>
      <c r="M31" s="34"/>
      <c r="N31" s="34"/>
      <c r="O31" s="34"/>
      <c r="P31" s="34"/>
      <c r="Q31" s="34"/>
      <c r="R31" s="1">
        <v>47.67</v>
      </c>
      <c r="S31" s="1">
        <v>1644.6</v>
      </c>
    </row>
    <row r="32" spans="1:19" ht="12.75" customHeight="1">
      <c r="A32" s="46" t="s">
        <v>16</v>
      </c>
      <c r="B32" s="27">
        <v>32042</v>
      </c>
      <c r="C32" s="27"/>
      <c r="D32" s="27">
        <v>36263</v>
      </c>
      <c r="E32" s="35"/>
      <c r="F32" s="28"/>
      <c r="G32" s="17">
        <f>(1+H32)^(365/(D32-B32))-1</f>
        <v>0.5325303003610342</v>
      </c>
      <c r="H32" s="17">
        <v>138.36111111111111</v>
      </c>
      <c r="I32" s="17">
        <f>(1+J32)^(365/(D32-B32))-1</f>
        <v>0.13269989406861527</v>
      </c>
      <c r="J32" s="18">
        <v>3.224788732394366</v>
      </c>
      <c r="K32" s="34"/>
      <c r="L32" s="34"/>
      <c r="M32" s="34"/>
      <c r="N32" s="34"/>
      <c r="O32" s="34"/>
      <c r="P32" s="34"/>
      <c r="Q32" s="34"/>
      <c r="R32" s="1">
        <v>0.36</v>
      </c>
      <c r="S32" s="44">
        <f>1840.4*319.5/1349.82</f>
        <v>435.619415922123</v>
      </c>
    </row>
    <row r="33" spans="1:19" ht="12.75" customHeight="1">
      <c r="A33" s="32"/>
      <c r="B33" s="27">
        <v>36263</v>
      </c>
      <c r="C33" s="27"/>
      <c r="D33" s="27">
        <v>37691</v>
      </c>
      <c r="E33" s="35"/>
      <c r="F33" s="28"/>
      <c r="G33" s="29">
        <f>(1+H33)^(365/(D33-B33))-1</f>
        <v>-0.40548183425894313</v>
      </c>
      <c r="H33" s="30">
        <v>-0.8692445684672114</v>
      </c>
      <c r="I33" s="23">
        <f>(1+J33)^(365/(D33-B33))-1</f>
        <v>-0.11282420130524196</v>
      </c>
      <c r="J33" s="31">
        <v>-0.3739676157357096</v>
      </c>
      <c r="K33" s="34"/>
      <c r="L33" s="34"/>
      <c r="M33" s="34"/>
      <c r="N33" s="34"/>
      <c r="O33" s="34"/>
      <c r="P33" s="34"/>
      <c r="Q33" s="34"/>
      <c r="R33" s="1">
        <v>50.17</v>
      </c>
      <c r="S33" s="1">
        <v>1840.4</v>
      </c>
    </row>
    <row r="34" spans="1:19" ht="12.75" customHeight="1">
      <c r="A34" s="32"/>
      <c r="B34" s="27">
        <v>37691</v>
      </c>
      <c r="C34" s="27"/>
      <c r="D34" s="27">
        <v>37993</v>
      </c>
      <c r="E34" s="35"/>
      <c r="F34" s="28"/>
      <c r="G34" s="29">
        <f>(1+H34)^(365/(D34-B34))-1</f>
        <v>1.198789944126271</v>
      </c>
      <c r="H34" s="23">
        <v>0.9192073170731707</v>
      </c>
      <c r="I34" s="23">
        <f>(1+J34)^(365/(D34-B34))-1</f>
        <v>0.5374184475566643</v>
      </c>
      <c r="J34" s="31">
        <v>0.427418304908215</v>
      </c>
      <c r="K34" s="34"/>
      <c r="L34" s="34"/>
      <c r="M34" s="34"/>
      <c r="N34" s="34"/>
      <c r="O34" s="34"/>
      <c r="P34" s="34"/>
      <c r="Q34" s="34"/>
      <c r="R34" s="1">
        <v>6.56</v>
      </c>
      <c r="S34" s="1">
        <v>1152.15</v>
      </c>
    </row>
    <row r="35" spans="1:19" ht="12.75" customHeight="1" thickBot="1">
      <c r="A35" s="32"/>
      <c r="B35" s="27">
        <v>32042</v>
      </c>
      <c r="C35" s="27"/>
      <c r="D35" s="27">
        <v>37993</v>
      </c>
      <c r="E35" s="35"/>
      <c r="F35" s="28"/>
      <c r="G35" s="21">
        <f>(1+H35)^(365/(D35-B35))-1</f>
        <v>0.24360676223409894</v>
      </c>
      <c r="H35" s="33">
        <v>33.97222222222222</v>
      </c>
      <c r="I35" s="21">
        <f>(1+J35)^(365/(D35-B35))-1</f>
        <v>0.08489316046068285</v>
      </c>
      <c r="J35" s="22">
        <v>2.775313817265689</v>
      </c>
      <c r="K35" s="34"/>
      <c r="L35" s="34"/>
      <c r="M35" s="34"/>
      <c r="N35" s="34"/>
      <c r="O35" s="34"/>
      <c r="P35" s="34"/>
      <c r="Q35" s="34"/>
      <c r="R35" s="1">
        <v>12.59</v>
      </c>
      <c r="S35" s="1">
        <v>1644.6</v>
      </c>
    </row>
    <row r="36" spans="1:19" ht="12.75" customHeight="1">
      <c r="A36" s="14" t="s">
        <v>17</v>
      </c>
      <c r="B36" s="24">
        <v>35065</v>
      </c>
      <c r="C36" s="24"/>
      <c r="D36" s="24">
        <v>36595</v>
      </c>
      <c r="E36" s="15">
        <f>(5177*(120-0.1)-5000-3000-1000)</f>
        <v>611722.3</v>
      </c>
      <c r="F36" s="15">
        <f>E36-30000*(1.13^((D36-B36)/365)-1)</f>
        <v>591648.04966401</v>
      </c>
      <c r="G36" s="16">
        <f t="shared" si="0"/>
        <v>0.6403305267813697</v>
      </c>
      <c r="H36" s="17">
        <v>6.960588653836142</v>
      </c>
      <c r="I36" s="17">
        <f t="shared" si="1"/>
        <v>0.235818175950671</v>
      </c>
      <c r="J36" s="18">
        <v>1.4291449926771378</v>
      </c>
      <c r="K36" s="34"/>
      <c r="L36" s="34"/>
      <c r="M36" s="34"/>
      <c r="N36" s="34"/>
      <c r="O36" s="34"/>
      <c r="P36" s="34"/>
      <c r="Q36" s="34"/>
      <c r="R36" s="47">
        <v>576.23</v>
      </c>
      <c r="S36" s="1">
        <v>792.04</v>
      </c>
    </row>
    <row r="37" spans="1:19" ht="12.75" customHeight="1">
      <c r="A37" s="26"/>
      <c r="B37" s="27">
        <v>36595</v>
      </c>
      <c r="C37" s="27"/>
      <c r="D37" s="27">
        <v>37536</v>
      </c>
      <c r="E37" s="28">
        <f>(5177*(43.375-120))</f>
        <v>-396687.625</v>
      </c>
      <c r="F37" s="28">
        <f>E37-(5177*120)*(1.13^((D37-B37)/365)-1)</f>
        <v>-626781.6693888805</v>
      </c>
      <c r="G37" s="29">
        <f t="shared" si="0"/>
        <v>-0.49092442381987444</v>
      </c>
      <c r="H37" s="30">
        <v>-0.8245874871651774</v>
      </c>
      <c r="I37" s="23">
        <f t="shared" si="1"/>
        <v>-0.18916882564998738</v>
      </c>
      <c r="J37" s="31">
        <v>-0.4176082911464776</v>
      </c>
      <c r="K37" s="34"/>
      <c r="L37" s="34"/>
      <c r="M37" s="34"/>
      <c r="N37" s="34"/>
      <c r="O37" s="34"/>
      <c r="P37" s="34"/>
      <c r="Q37" s="34"/>
      <c r="R37" s="47">
        <v>4587.13</v>
      </c>
      <c r="S37" s="1">
        <v>1923.98</v>
      </c>
    </row>
    <row r="38" spans="1:19" ht="12.75" customHeight="1">
      <c r="A38" s="26"/>
      <c r="B38" s="27">
        <v>37536</v>
      </c>
      <c r="C38" s="27"/>
      <c r="D38" s="27">
        <v>37993</v>
      </c>
      <c r="E38" s="28"/>
      <c r="F38" s="28"/>
      <c r="G38" s="29">
        <f t="shared" si="0"/>
        <v>0.656984866843284</v>
      </c>
      <c r="H38" s="23">
        <v>0.8819099224497913</v>
      </c>
      <c r="I38" s="23">
        <f t="shared" si="1"/>
        <v>0.3586163915334446</v>
      </c>
      <c r="J38" s="31">
        <v>0.46772451829970274</v>
      </c>
      <c r="K38" s="34"/>
      <c r="L38" s="34"/>
      <c r="M38" s="34"/>
      <c r="N38" s="34"/>
      <c r="O38" s="34"/>
      <c r="P38" s="34"/>
      <c r="Q38" s="34"/>
      <c r="R38" s="47">
        <v>804.64</v>
      </c>
      <c r="S38" s="1">
        <v>1120.51</v>
      </c>
    </row>
    <row r="39" spans="1:19" ht="12.75" customHeight="1" thickBot="1">
      <c r="A39" s="36" t="s">
        <v>9</v>
      </c>
      <c r="B39" s="37">
        <v>35065</v>
      </c>
      <c r="C39" s="37"/>
      <c r="D39" s="37">
        <v>37993</v>
      </c>
      <c r="E39" s="20">
        <f>E36+E37</f>
        <v>215034.67500000005</v>
      </c>
      <c r="F39" s="38">
        <f>F36+F37</f>
        <v>-35133.61972487054</v>
      </c>
      <c r="G39" s="21">
        <f t="shared" si="0"/>
        <v>0.12799523639385302</v>
      </c>
      <c r="H39" s="33">
        <v>1.6278742863092863</v>
      </c>
      <c r="I39" s="21">
        <f t="shared" si="1"/>
        <v>0.0953572178357367</v>
      </c>
      <c r="J39" s="22">
        <v>1.076410282308974</v>
      </c>
      <c r="K39" s="34"/>
      <c r="L39" s="34"/>
      <c r="M39" s="34"/>
      <c r="N39" s="34"/>
      <c r="O39" s="34"/>
      <c r="P39" s="34"/>
      <c r="Q39" s="34"/>
      <c r="R39" s="47">
        <v>1514.26</v>
      </c>
      <c r="S39" s="1">
        <v>1644.6</v>
      </c>
    </row>
    <row r="40" spans="1:17" ht="12.75" customHeight="1">
      <c r="A40" s="48"/>
      <c r="B40" s="27"/>
      <c r="C40" s="27"/>
      <c r="D40" s="27"/>
      <c r="E40" s="35"/>
      <c r="F40" s="35"/>
      <c r="G40" s="29"/>
      <c r="H40" s="23"/>
      <c r="I40" s="29"/>
      <c r="J40" s="23"/>
      <c r="K40" s="34"/>
      <c r="L40" s="34"/>
      <c r="M40" s="34"/>
      <c r="N40" s="34"/>
      <c r="O40" s="34"/>
      <c r="P40" s="34"/>
      <c r="Q4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2004-02-27T12:39:19Z</dcterms:created>
  <dcterms:modified xsi:type="dcterms:W3CDTF">2004-03-24T10:30:55Z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-1038153061</vt:i4>
  </property>
  <property fmtid="{D5CDD505-2E9C-101B-9397-08002B2CF9AE}" pid="3" name="_EmailSubject">
    <vt:lpwstr>Cambiar estas tablas cap 9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