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1185" windowWidth="15480" windowHeight="10380" activeTab="0"/>
  </bookViews>
  <sheets>
    <sheet name="euros" sheetId="1" r:id="rId1"/>
  </sheets>
  <externalReferences>
    <externalReference r:id="rId4"/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<sst xmlns="http://schemas.openxmlformats.org/spreadsheetml/2006/main" count="43" uniqueCount="41">
  <si>
    <t>NOF</t>
  </si>
  <si>
    <t>Activos fijos</t>
  </si>
  <si>
    <t>Total activo neto</t>
  </si>
  <si>
    <t>Deuda financiera</t>
  </si>
  <si>
    <t>Recursos propios</t>
  </si>
  <si>
    <t>Total pasivo neto</t>
  </si>
  <si>
    <t>Intereses</t>
  </si>
  <si>
    <t>Beneficio neto</t>
  </si>
  <si>
    <t>Flujo acciones</t>
  </si>
  <si>
    <t xml:space="preserve"> +(1-0,35)Intereses pagados</t>
  </si>
  <si>
    <t xml:space="preserve"> +devolución de deuda</t>
  </si>
  <si>
    <t>FCF</t>
  </si>
  <si>
    <t>(g=1%)</t>
  </si>
  <si>
    <t>Rf</t>
  </si>
  <si>
    <t>Pm</t>
  </si>
  <si>
    <t>Beta u</t>
  </si>
  <si>
    <t>Ku</t>
  </si>
  <si>
    <t>beta L</t>
  </si>
  <si>
    <t>Ke</t>
  </si>
  <si>
    <t>Producto (1+Ke)</t>
  </si>
  <si>
    <t>CFac / Producto (1+Ke)</t>
  </si>
  <si>
    <t>E=VA(CFac;Ke)</t>
  </si>
  <si>
    <t xml:space="preserve">Valor de las acciones en diciembre de 2001: </t>
  </si>
  <si>
    <r>
      <t xml:space="preserve">A esta cantidad hay que deducir el margen que el nuevo socio que aporte los 5.000 millones gane en la operación (estimamos que unos </t>
    </r>
    <r>
      <rPr>
        <b/>
        <sz val="9"/>
        <rFont val="Tms Rmn"/>
        <family val="0"/>
      </rPr>
      <t>1.000</t>
    </r>
    <r>
      <rPr>
        <sz val="9"/>
        <rFont val="Tms Rmn"/>
        <family val="0"/>
      </rPr>
      <t xml:space="preserve"> como mínimo)</t>
    </r>
  </si>
  <si>
    <t>D</t>
  </si>
  <si>
    <t>D+E</t>
  </si>
  <si>
    <t>($ millones)</t>
  </si>
  <si>
    <t>Kd</t>
  </si>
  <si>
    <t>WACC</t>
  </si>
  <si>
    <t>Producto (1+WACC)</t>
  </si>
  <si>
    <t>FCF / Producto (1+wacc)</t>
  </si>
  <si>
    <t>D+E=VA(FCF;WACC)</t>
  </si>
  <si>
    <t>CCF</t>
  </si>
  <si>
    <r>
      <t>WACC</t>
    </r>
    <r>
      <rPr>
        <vertAlign val="subscript"/>
        <sz val="9"/>
        <rFont val="Tms Rmn"/>
        <family val="0"/>
      </rPr>
      <t>BT</t>
    </r>
  </si>
  <si>
    <r>
      <t>Producto (1+WACC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</si>
  <si>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CCF / Producto (1+wacc)</t>
  </si>
  <si>
    <r>
      <t>D+E = VA(CCF;WACC</t>
    </r>
    <r>
      <rPr>
        <vertAlign val="subscript"/>
        <sz val="9"/>
        <rFont val="Tms Rmn"/>
        <family val="0"/>
      </rPr>
      <t>BT</t>
    </r>
    <r>
      <rPr>
        <sz val="9"/>
        <rFont val="Tms Rmn"/>
        <family val="0"/>
      </rPr>
      <t>)</t>
    </r>
  </si>
  <si>
    <t>D/(D+valor acciones)</t>
  </si>
  <si>
    <t>miles</t>
  </si>
  <si>
    <t>INMOSEV. Balances y flujos según revisión de diciembre de 2001</t>
  </si>
  <si>
    <t>si los 5.000 millones fueran aportados por los socios de Inmosev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</si>
</sst>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00000000"/>
    <numFmt numFmtId="173" formatCode="0.0%"/>
    <numFmt numFmtId="174" formatCode="#,##0.0"/>
    <numFmt numFmtId="175" formatCode="0.000%"/>
    <numFmt numFmtId="176" formatCode="0.0000%"/>
    <numFmt numFmtId="177" formatCode="#,##0.000"/>
    <numFmt numFmtId="178" formatCode="0.00000%"/>
    <numFmt numFmtId="179" formatCode="0.0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Tms Rmn"/>
      <family val="0"/>
    </font>
    <font>
      <b/>
      <sz val="9"/>
      <name val="Tms Rmn"/>
      <family val="0"/>
    </font>
    <font>
      <b/>
      <sz val="12"/>
      <name val="Tms Rmn"/>
      <family val="0"/>
    </font>
    <font>
      <u val="single"/>
      <sz val="9"/>
      <name val="Tms Rmn"/>
      <family val="0"/>
    </font>
    <font>
      <vertAlign val="subscript"/>
      <sz val="9"/>
      <name val="Tms Rmn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173" fontId="4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3" fontId="5" fillId="0" borderId="4" xfId="0" applyNumberFormat="1" applyFont="1" applyBorder="1" applyAlignment="1">
      <alignment/>
    </xf>
    <xf numFmtId="10" fontId="5" fillId="0" borderId="4" xfId="19" applyNumberFormat="1" applyFont="1" applyBorder="1" applyAlignment="1">
      <alignment/>
    </xf>
    <xf numFmtId="10" fontId="5" fillId="0" borderId="5" xfId="19" applyNumberFormat="1" applyFont="1" applyBorder="1" applyAlignment="1">
      <alignment/>
    </xf>
    <xf numFmtId="0" fontId="4" fillId="0" borderId="6" xfId="0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0" fontId="4" fillId="0" borderId="0" xfId="19" applyNumberFormat="1" applyFont="1" applyAlignment="1">
      <alignment/>
    </xf>
    <xf numFmtId="173" fontId="5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175" fontId="5" fillId="0" borderId="4" xfId="19" applyNumberFormat="1" applyFont="1" applyBorder="1" applyAlignment="1">
      <alignment/>
    </xf>
    <xf numFmtId="10" fontId="4" fillId="0" borderId="0" xfId="19" applyNumberFormat="1" applyFont="1" applyBorder="1" applyAlignment="1">
      <alignment/>
    </xf>
    <xf numFmtId="10" fontId="5" fillId="0" borderId="4" xfId="0" applyNumberFormat="1" applyFont="1" applyBorder="1" applyAlignment="1">
      <alignment/>
    </xf>
    <xf numFmtId="10" fontId="5" fillId="0" borderId="5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19" applyNumberFormat="1" applyFont="1" applyBorder="1" applyAlignment="1">
      <alignment/>
    </xf>
    <xf numFmtId="0" fontId="5" fillId="0" borderId="11" xfId="0" applyFont="1" applyBorder="1" applyAlignment="1">
      <alignment/>
    </xf>
    <xf numFmtId="179" fontId="4" fillId="0" borderId="0" xfId="19" applyNumberFormat="1" applyFont="1" applyBorder="1" applyAlignment="1">
      <alignment/>
    </xf>
    <xf numFmtId="179" fontId="4" fillId="0" borderId="12" xfId="19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FernandezDesktop%20Folder\Caso%20EDIVAL-PUCHADES\ASTEDIAr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s_PFernandez\Disco%202\Documentos\CURSOS\CASOS\Caso%20EDIVAL-PUCHADES\INMOSEVexc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uros"/>
      <sheetName val="endeudamiento cambian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TEDI"/>
      <sheetName val="euro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 topLeftCell="A13">
      <selection activeCell="A10" sqref="A10:IV10"/>
    </sheetView>
  </sheetViews>
  <sheetFormatPr defaultColWidth="9.00390625" defaultRowHeight="12"/>
  <cols>
    <col min="1" max="1" width="3.125" style="7" customWidth="1"/>
    <col min="2" max="2" width="19.875" style="7" customWidth="1"/>
    <col min="3" max="3" width="8.25390625" style="7" customWidth="1"/>
    <col min="4" max="4" width="7.875" style="7" customWidth="1"/>
    <col min="5" max="5" width="8.00390625" style="7" customWidth="1"/>
    <col min="6" max="11" width="7.00390625" style="7" customWidth="1"/>
    <col min="12" max="12" width="7.00390625" style="12" customWidth="1"/>
    <col min="13" max="14" width="7.00390625" style="7" customWidth="1"/>
    <col min="15" max="15" width="6.75390625" style="7" customWidth="1"/>
    <col min="16" max="17" width="7.875" style="7" customWidth="1"/>
    <col min="18" max="16384" width="10.875" style="7" customWidth="1"/>
  </cols>
  <sheetData>
    <row r="1" spans="2:12" s="2" customFormat="1" ht="18" customHeight="1">
      <c r="B1" s="15"/>
      <c r="C1" s="16" t="s">
        <v>39</v>
      </c>
      <c r="D1" s="3"/>
      <c r="F1" s="3"/>
      <c r="G1" s="3"/>
      <c r="H1" s="3"/>
      <c r="L1" s="4"/>
    </row>
    <row r="2" spans="1:12" s="2" customFormat="1" ht="10.5" customHeight="1">
      <c r="A2" s="1"/>
      <c r="B2" s="5" t="s">
        <v>38</v>
      </c>
      <c r="C2" s="3"/>
      <c r="D2" s="3"/>
      <c r="F2" s="3"/>
      <c r="G2" s="3"/>
      <c r="H2" s="3"/>
      <c r="L2" s="4"/>
    </row>
    <row r="3" spans="2:15" s="1" customFormat="1" ht="10.5">
      <c r="B3" s="5"/>
      <c r="C3" s="1">
        <v>2001</v>
      </c>
      <c r="D3" s="1">
        <f aca="true" t="shared" si="0" ref="D3:O3">C3+1</f>
        <v>2002</v>
      </c>
      <c r="E3" s="1">
        <f t="shared" si="0"/>
        <v>2003</v>
      </c>
      <c r="F3" s="1">
        <f t="shared" si="0"/>
        <v>2004</v>
      </c>
      <c r="G3" s="1">
        <f t="shared" si="0"/>
        <v>2005</v>
      </c>
      <c r="H3" s="1">
        <f t="shared" si="0"/>
        <v>2006</v>
      </c>
      <c r="I3" s="1">
        <f t="shared" si="0"/>
        <v>2007</v>
      </c>
      <c r="J3" s="1">
        <f t="shared" si="0"/>
        <v>2008</v>
      </c>
      <c r="K3" s="1">
        <f t="shared" si="0"/>
        <v>2009</v>
      </c>
      <c r="L3" s="6">
        <f t="shared" si="0"/>
        <v>2010</v>
      </c>
      <c r="M3" s="1">
        <f t="shared" si="0"/>
        <v>2011</v>
      </c>
      <c r="N3" s="1">
        <f t="shared" si="0"/>
        <v>2012</v>
      </c>
      <c r="O3" s="1">
        <f t="shared" si="0"/>
        <v>2013</v>
      </c>
    </row>
    <row r="4" spans="2:15" s="1" customFormat="1" ht="10.5">
      <c r="B4" s="7" t="s">
        <v>0</v>
      </c>
      <c r="C4" s="8">
        <v>118698.26788311517</v>
      </c>
      <c r="D4" s="8">
        <v>169676.11457694756</v>
      </c>
      <c r="E4" s="8">
        <v>241152.2646877067</v>
      </c>
      <c r="F4" s="8">
        <v>287290.30168996373</v>
      </c>
      <c r="G4" s="8">
        <v>322473.47288999066</v>
      </c>
      <c r="H4" s="8">
        <v>393429.0938268812</v>
      </c>
      <c r="I4" s="8">
        <v>460667.6483746575</v>
      </c>
      <c r="J4" s="8">
        <v>465221.8384713283</v>
      </c>
      <c r="K4" s="8">
        <v>469829.18529232836</v>
      </c>
      <c r="L4" s="8">
        <v>474475.1289909597</v>
      </c>
      <c r="M4" s="8">
        <v>479168.553847155</v>
      </c>
      <c r="N4" s="8">
        <v>483915.9447935336</v>
      </c>
      <c r="O4" s="8">
        <v>488755.1042414689</v>
      </c>
    </row>
    <row r="5" spans="2:15" s="1" customFormat="1" ht="10.5">
      <c r="B5" s="7" t="s">
        <v>1</v>
      </c>
      <c r="C5" s="8">
        <v>2025.9937735145966</v>
      </c>
      <c r="D5" s="8">
        <v>8380.554854374765</v>
      </c>
      <c r="E5" s="8">
        <v>9793.534311781035</v>
      </c>
      <c r="F5" s="8">
        <v>11350.936977870731</v>
      </c>
      <c r="G5" s="8">
        <v>13069.771495197909</v>
      </c>
      <c r="H5" s="8">
        <v>14923.833736011438</v>
      </c>
      <c r="I5" s="8">
        <v>16962.406692870794</v>
      </c>
      <c r="J5" s="8">
        <v>16947.945740627216</v>
      </c>
      <c r="K5" s="8">
        <v>16928.65228444701</v>
      </c>
      <c r="L5" s="8">
        <v>16904.477999290804</v>
      </c>
      <c r="M5" s="8">
        <v>16875.374076868848</v>
      </c>
      <c r="N5" s="8">
        <v>16841.29122080847</v>
      </c>
      <c r="O5" s="8">
        <v>17009.70413301656</v>
      </c>
    </row>
    <row r="6" spans="2:15" s="1" customFormat="1" ht="10.5">
      <c r="B6" s="10" t="s">
        <v>2</v>
      </c>
      <c r="C6" s="11">
        <f aca="true" t="shared" si="1" ref="C6:O6">SUM(C4:C5)</f>
        <v>120724.26165662977</v>
      </c>
      <c r="D6" s="11">
        <f t="shared" si="1"/>
        <v>178056.6694313223</v>
      </c>
      <c r="E6" s="11">
        <f t="shared" si="1"/>
        <v>250945.7989994877</v>
      </c>
      <c r="F6" s="11">
        <f t="shared" si="1"/>
        <v>298641.23866783443</v>
      </c>
      <c r="G6" s="11">
        <f t="shared" si="1"/>
        <v>335543.24438518856</v>
      </c>
      <c r="H6" s="11">
        <f t="shared" si="1"/>
        <v>408352.92756289267</v>
      </c>
      <c r="I6" s="11">
        <f t="shared" si="1"/>
        <v>477630.0550675283</v>
      </c>
      <c r="J6" s="11">
        <f t="shared" si="1"/>
        <v>482169.78421195556</v>
      </c>
      <c r="K6" s="11">
        <f t="shared" si="1"/>
        <v>486757.83757677535</v>
      </c>
      <c r="L6" s="11">
        <f t="shared" si="1"/>
        <v>491379.6069902505</v>
      </c>
      <c r="M6" s="11">
        <f t="shared" si="1"/>
        <v>496043.9279240239</v>
      </c>
      <c r="N6" s="11">
        <f t="shared" si="1"/>
        <v>500757.23601434205</v>
      </c>
      <c r="O6" s="11">
        <f t="shared" si="1"/>
        <v>505764.80837448547</v>
      </c>
    </row>
    <row r="7" spans="2:15" s="1" customFormat="1" ht="10.5">
      <c r="B7" s="7" t="s">
        <v>3</v>
      </c>
      <c r="C7" s="8">
        <v>101624.53571814937</v>
      </c>
      <c r="D7" s="8">
        <v>108656.97835154399</v>
      </c>
      <c r="E7" s="8">
        <v>174294.71229550563</v>
      </c>
      <c r="F7" s="8">
        <v>202360.17453391512</v>
      </c>
      <c r="G7" s="8">
        <v>221505.4151190605</v>
      </c>
      <c r="H7" s="8">
        <v>275143.34138689557</v>
      </c>
      <c r="I7" s="8">
        <v>322747.10612671735</v>
      </c>
      <c r="J7" s="8">
        <v>310726.86403904174</v>
      </c>
      <c r="K7" s="8">
        <v>298706.62195136613</v>
      </c>
      <c r="L7" s="8">
        <v>286686.3798636904</v>
      </c>
      <c r="M7" s="8">
        <v>274666.1377760148</v>
      </c>
      <c r="N7" s="8">
        <v>274666.1377760148</v>
      </c>
      <c r="O7" s="8">
        <v>277412.799153775</v>
      </c>
    </row>
    <row r="8" spans="2:15" s="1" customFormat="1" ht="10.5">
      <c r="B8" s="7" t="s">
        <v>4</v>
      </c>
      <c r="C8" s="8">
        <v>19100.750664118375</v>
      </c>
      <c r="D8" s="8">
        <v>69400.41529936412</v>
      </c>
      <c r="E8" s="8">
        <v>76651.8109235679</v>
      </c>
      <c r="F8" s="8">
        <v>96281.78835350514</v>
      </c>
      <c r="G8" s="8">
        <v>114038.55348571384</v>
      </c>
      <c r="H8" s="8">
        <v>133210.3103955829</v>
      </c>
      <c r="I8" s="8">
        <v>154883.67316039672</v>
      </c>
      <c r="J8" s="8">
        <v>171443.64439249953</v>
      </c>
      <c r="K8" s="8">
        <v>188051.939844995</v>
      </c>
      <c r="L8" s="8">
        <v>204693.9513461459</v>
      </c>
      <c r="M8" s="8">
        <v>221378.51436759488</v>
      </c>
      <c r="N8" s="8">
        <v>226091.82245791302</v>
      </c>
      <c r="O8" s="8">
        <v>228352.74068249215</v>
      </c>
    </row>
    <row r="9" spans="2:15" s="1" customFormat="1" ht="10.5">
      <c r="B9" s="10" t="s">
        <v>5</v>
      </c>
      <c r="C9" s="9">
        <f aca="true" t="shared" si="2" ref="C9:O9">SUM(C7:C8)</f>
        <v>120725.28638226775</v>
      </c>
      <c r="D9" s="11">
        <f t="shared" si="2"/>
        <v>178057.3936509081</v>
      </c>
      <c r="E9" s="11">
        <f t="shared" si="2"/>
        <v>250946.52321907354</v>
      </c>
      <c r="F9" s="11">
        <f t="shared" si="2"/>
        <v>298641.96288742026</v>
      </c>
      <c r="G9" s="11">
        <f t="shared" si="2"/>
        <v>335543.96860477433</v>
      </c>
      <c r="H9" s="11">
        <f t="shared" si="2"/>
        <v>408353.65178247844</v>
      </c>
      <c r="I9" s="11">
        <f t="shared" si="2"/>
        <v>477630.77928711404</v>
      </c>
      <c r="J9" s="11">
        <f t="shared" si="2"/>
        <v>482170.50843154127</v>
      </c>
      <c r="K9" s="11">
        <f t="shared" si="2"/>
        <v>486758.5617963611</v>
      </c>
      <c r="L9" s="11">
        <f t="shared" si="2"/>
        <v>491380.3312098363</v>
      </c>
      <c r="M9" s="11">
        <f t="shared" si="2"/>
        <v>496044.6521436097</v>
      </c>
      <c r="N9" s="11">
        <f t="shared" si="2"/>
        <v>500757.9602339278</v>
      </c>
      <c r="O9" s="11">
        <f t="shared" si="2"/>
        <v>505765.5398362671</v>
      </c>
    </row>
    <row r="10" spans="1:15" ht="12" customHeight="1">
      <c r="A10" s="1"/>
      <c r="B10" s="7" t="s">
        <v>6</v>
      </c>
      <c r="C10" s="8">
        <v>4242.484343634681</v>
      </c>
      <c r="D10" s="8">
        <v>6196.434796196796</v>
      </c>
      <c r="E10" s="8">
        <v>9976.800932770786</v>
      </c>
      <c r="F10" s="8">
        <v>13534.792590722776</v>
      </c>
      <c r="G10" s="8">
        <v>15115.454425252125</v>
      </c>
      <c r="H10" s="8">
        <v>17807.988652891472</v>
      </c>
      <c r="I10" s="8">
        <v>19244.40758236871</v>
      </c>
      <c r="J10" s="8">
        <v>18973.952135396008</v>
      </c>
      <c r="K10" s="8">
        <v>18246.72748909163</v>
      </c>
      <c r="L10" s="8">
        <v>17525.51296383109</v>
      </c>
      <c r="M10" s="8">
        <v>16804.298438570553</v>
      </c>
      <c r="N10" s="8">
        <v>16479.751902203312</v>
      </c>
      <c r="O10" s="8">
        <f>N10*1.01</f>
        <v>16644.549421225347</v>
      </c>
    </row>
    <row r="11" spans="1:15" ht="12" customHeight="1" thickBot="1">
      <c r="A11" s="1"/>
      <c r="B11" s="12" t="s">
        <v>7</v>
      </c>
      <c r="C11" s="8">
        <v>1953.8753260490664</v>
      </c>
      <c r="D11" s="8">
        <v>20299.664635245746</v>
      </c>
      <c r="E11" s="8">
        <v>7251.547606168789</v>
      </c>
      <c r="F11" s="8">
        <v>19629.89374105994</v>
      </c>
      <c r="G11" s="8">
        <v>17756.767396295352</v>
      </c>
      <c r="H11" s="8">
        <v>19171.769259432873</v>
      </c>
      <c r="I11" s="8">
        <v>21673.38598199368</v>
      </c>
      <c r="J11" s="8">
        <v>22191.004531631275</v>
      </c>
      <c r="K11" s="8">
        <v>23008.94128592549</v>
      </c>
      <c r="L11" s="8">
        <v>23826.423868883187</v>
      </c>
      <c r="M11" s="8">
        <v>24647.39338325625</v>
      </c>
      <c r="N11" s="8">
        <v>25214.05050557824</v>
      </c>
      <c r="O11" s="8">
        <f>N11*1.01</f>
        <v>25466.191010634026</v>
      </c>
    </row>
    <row r="12" spans="2:15" ht="12" customHeight="1" thickBot="1">
      <c r="B12" s="17" t="s">
        <v>8</v>
      </c>
      <c r="C12" s="18">
        <v>-0.009015181548461763</v>
      </c>
      <c r="D12" s="18">
        <v>-30000.30050605221</v>
      </c>
      <c r="E12" s="18">
        <v>0.15198196501379466</v>
      </c>
      <c r="F12" s="18">
        <v>-0.08368887730376567</v>
      </c>
      <c r="G12" s="18">
        <v>0.0022640866594433305</v>
      </c>
      <c r="H12" s="18">
        <v>0.012349563786478331</v>
      </c>
      <c r="I12" s="18">
        <v>0.02321717988094466</v>
      </c>
      <c r="J12" s="18">
        <v>5631.033299528445</v>
      </c>
      <c r="K12" s="18">
        <v>6400.645833430006</v>
      </c>
      <c r="L12" s="18">
        <v>7184.412367732288</v>
      </c>
      <c r="M12" s="18">
        <v>7962.830361807344</v>
      </c>
      <c r="N12" s="18">
        <v>20500.742415260094</v>
      </c>
      <c r="O12" s="19">
        <f>N12*1.01</f>
        <v>20705.749839412696</v>
      </c>
    </row>
    <row r="13" spans="1:15" ht="12" customHeight="1">
      <c r="A13" s="1"/>
      <c r="B13" s="7" t="s">
        <v>9</v>
      </c>
      <c r="C13" s="8">
        <v>2757.6148233625427</v>
      </c>
      <c r="D13" s="8">
        <v>4027.682617527917</v>
      </c>
      <c r="E13" s="8">
        <v>7318.558262037578</v>
      </c>
      <c r="F13" s="8">
        <v>8797.615183969805</v>
      </c>
      <c r="G13" s="8">
        <v>9825.04537641388</v>
      </c>
      <c r="H13" s="8">
        <v>11575.192624379457</v>
      </c>
      <c r="I13" s="8">
        <v>12508.864928539662</v>
      </c>
      <c r="J13" s="8">
        <v>12333.068888007405</v>
      </c>
      <c r="K13" s="8">
        <v>11860.37286790956</v>
      </c>
      <c r="L13" s="8">
        <v>11391.583426490211</v>
      </c>
      <c r="M13" s="8">
        <v>10922.79398507086</v>
      </c>
      <c r="N13" s="8">
        <v>10711.838736432152</v>
      </c>
      <c r="O13" s="8">
        <v>10818.957123796474</v>
      </c>
    </row>
    <row r="14" spans="1:15" ht="12" customHeight="1">
      <c r="A14" s="1"/>
      <c r="B14" s="12" t="s">
        <v>10</v>
      </c>
      <c r="C14" s="9">
        <v>-64285.85337708702</v>
      </c>
      <c r="D14" s="9">
        <f aca="true" t="shared" si="3" ref="D14:O14">C7-D7</f>
        <v>-7032.442633394618</v>
      </c>
      <c r="E14" s="9">
        <f t="shared" si="3"/>
        <v>-65637.73394396163</v>
      </c>
      <c r="F14" s="9">
        <f t="shared" si="3"/>
        <v>-28065.4622384095</v>
      </c>
      <c r="G14" s="9">
        <f t="shared" si="3"/>
        <v>-19145.240585145366</v>
      </c>
      <c r="H14" s="9">
        <f t="shared" si="3"/>
        <v>-53637.92626783508</v>
      </c>
      <c r="I14" s="9">
        <f t="shared" si="3"/>
        <v>-47603.76473982178</v>
      </c>
      <c r="J14" s="9">
        <f t="shared" si="3"/>
        <v>12020.242087675608</v>
      </c>
      <c r="K14" s="9">
        <f t="shared" si="3"/>
        <v>12020.242087675608</v>
      </c>
      <c r="L14" s="9">
        <f t="shared" si="3"/>
        <v>12020.242087675724</v>
      </c>
      <c r="M14" s="9">
        <f t="shared" si="3"/>
        <v>12020.242087675608</v>
      </c>
      <c r="N14" s="9">
        <f t="shared" si="3"/>
        <v>0</v>
      </c>
      <c r="O14" s="9">
        <f t="shared" si="3"/>
        <v>-2746.661377760174</v>
      </c>
    </row>
    <row r="15" spans="2:15" ht="12" customHeight="1">
      <c r="B15" s="10" t="s">
        <v>11</v>
      </c>
      <c r="C15" s="11">
        <f aca="true" t="shared" si="4" ref="C15:O15">C12+C13+C14</f>
        <v>-61528.24756890602</v>
      </c>
      <c r="D15" s="11">
        <f t="shared" si="4"/>
        <v>-33005.06052191891</v>
      </c>
      <c r="E15" s="11">
        <f t="shared" si="4"/>
        <v>-58319.02369995904</v>
      </c>
      <c r="F15" s="11">
        <f t="shared" si="4"/>
        <v>-19267.930743316996</v>
      </c>
      <c r="G15" s="11">
        <f t="shared" si="4"/>
        <v>-9320.192944644827</v>
      </c>
      <c r="H15" s="11">
        <f t="shared" si="4"/>
        <v>-42062.72129389184</v>
      </c>
      <c r="I15" s="11">
        <f t="shared" si="4"/>
        <v>-35094.876594102236</v>
      </c>
      <c r="J15" s="11">
        <f t="shared" si="4"/>
        <v>29984.344275211457</v>
      </c>
      <c r="K15" s="11">
        <f t="shared" si="4"/>
        <v>30281.260789015174</v>
      </c>
      <c r="L15" s="11">
        <f t="shared" si="4"/>
        <v>30596.237881898225</v>
      </c>
      <c r="M15" s="11">
        <f t="shared" si="4"/>
        <v>30905.866434553813</v>
      </c>
      <c r="N15" s="11">
        <f t="shared" si="4"/>
        <v>31212.581151692248</v>
      </c>
      <c r="O15" s="11">
        <f t="shared" si="4"/>
        <v>28778.045585448996</v>
      </c>
    </row>
    <row r="16" spans="1:15" ht="12" customHeight="1">
      <c r="A16" s="1"/>
      <c r="B16" s="7" t="s">
        <v>37</v>
      </c>
      <c r="C16" s="32">
        <f>C7/(C7+C28)</f>
        <v>0.40534742382929884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2:15" ht="12.75" customHeight="1" thickBot="1">
      <c r="B17" s="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" t="s">
        <v>12</v>
      </c>
    </row>
    <row r="18" spans="2:15" s="1" customFormat="1" ht="12.75" customHeight="1" thickBot="1">
      <c r="B18" s="35" t="s">
        <v>38</v>
      </c>
      <c r="C18" s="36">
        <v>2001</v>
      </c>
      <c r="D18" s="36">
        <f aca="true" t="shared" si="5" ref="D18:O18">C18+1</f>
        <v>2002</v>
      </c>
      <c r="E18" s="36">
        <f t="shared" si="5"/>
        <v>2003</v>
      </c>
      <c r="F18" s="36">
        <f t="shared" si="5"/>
        <v>2004</v>
      </c>
      <c r="G18" s="36">
        <f t="shared" si="5"/>
        <v>2005</v>
      </c>
      <c r="H18" s="36">
        <f t="shared" si="5"/>
        <v>2006</v>
      </c>
      <c r="I18" s="36">
        <f t="shared" si="5"/>
        <v>2007</v>
      </c>
      <c r="J18" s="36">
        <f t="shared" si="5"/>
        <v>2008</v>
      </c>
      <c r="K18" s="36">
        <f t="shared" si="5"/>
        <v>2009</v>
      </c>
      <c r="L18" s="36">
        <f t="shared" si="5"/>
        <v>2010</v>
      </c>
      <c r="M18" s="36">
        <f t="shared" si="5"/>
        <v>2011</v>
      </c>
      <c r="N18" s="36">
        <f t="shared" si="5"/>
        <v>2012</v>
      </c>
      <c r="O18" s="37">
        <f t="shared" si="5"/>
        <v>2013</v>
      </c>
    </row>
    <row r="19" spans="2:15" s="1" customFormat="1" ht="12.75" customHeight="1" thickBot="1">
      <c r="B19" s="21" t="s">
        <v>8</v>
      </c>
      <c r="C19" s="22">
        <f aca="true" t="shared" si="6" ref="C19:N19">C12</f>
        <v>-0.009015181548461763</v>
      </c>
      <c r="D19" s="22">
        <f t="shared" si="6"/>
        <v>-30000.30050605221</v>
      </c>
      <c r="E19" s="22">
        <f t="shared" si="6"/>
        <v>0.15198196501379466</v>
      </c>
      <c r="F19" s="22">
        <f t="shared" si="6"/>
        <v>-0.08368887730376567</v>
      </c>
      <c r="G19" s="22">
        <f t="shared" si="6"/>
        <v>0.0022640866594433305</v>
      </c>
      <c r="H19" s="22">
        <f t="shared" si="6"/>
        <v>0.012349563786478331</v>
      </c>
      <c r="I19" s="22">
        <f t="shared" si="6"/>
        <v>0.02321717988094466</v>
      </c>
      <c r="J19" s="22">
        <f t="shared" si="6"/>
        <v>5631.033299528445</v>
      </c>
      <c r="K19" s="22">
        <f t="shared" si="6"/>
        <v>6400.645833430006</v>
      </c>
      <c r="L19" s="22">
        <f t="shared" si="6"/>
        <v>7184.412367732288</v>
      </c>
      <c r="M19" s="22">
        <f t="shared" si="6"/>
        <v>7962.830361807344</v>
      </c>
      <c r="N19" s="22">
        <f t="shared" si="6"/>
        <v>20500.742415260094</v>
      </c>
      <c r="O19" s="30">
        <f>N19*1.01</f>
        <v>20705.749839412696</v>
      </c>
    </row>
    <row r="20" spans="1:15" ht="10.5">
      <c r="A20" s="1"/>
      <c r="B20" s="38" t="s">
        <v>13</v>
      </c>
      <c r="C20" s="32">
        <v>0.05</v>
      </c>
      <c r="D20" s="32">
        <v>0.05</v>
      </c>
      <c r="E20" s="32">
        <v>0.05</v>
      </c>
      <c r="F20" s="32">
        <v>0.05</v>
      </c>
      <c r="G20" s="32">
        <v>0.05</v>
      </c>
      <c r="H20" s="32">
        <v>0.05</v>
      </c>
      <c r="I20" s="32">
        <v>0.05</v>
      </c>
      <c r="J20" s="32">
        <v>0.05</v>
      </c>
      <c r="K20" s="32">
        <v>0.05</v>
      </c>
      <c r="L20" s="32">
        <v>0.05</v>
      </c>
      <c r="M20" s="32">
        <v>0.05</v>
      </c>
      <c r="N20" s="32">
        <v>0.05</v>
      </c>
      <c r="O20" s="39">
        <v>0.05</v>
      </c>
    </row>
    <row r="21" spans="1:15" ht="10.5">
      <c r="A21" s="1"/>
      <c r="B21" s="38" t="s">
        <v>14</v>
      </c>
      <c r="C21" s="32">
        <v>0.045</v>
      </c>
      <c r="D21" s="32">
        <v>0.045</v>
      </c>
      <c r="E21" s="32">
        <v>0.045</v>
      </c>
      <c r="F21" s="32">
        <v>0.045</v>
      </c>
      <c r="G21" s="32">
        <v>0.045</v>
      </c>
      <c r="H21" s="32">
        <v>0.045</v>
      </c>
      <c r="I21" s="32">
        <v>0.045</v>
      </c>
      <c r="J21" s="32">
        <v>0.045</v>
      </c>
      <c r="K21" s="32">
        <v>0.045</v>
      </c>
      <c r="L21" s="32">
        <v>0.045</v>
      </c>
      <c r="M21" s="32">
        <v>0.045</v>
      </c>
      <c r="N21" s="32">
        <v>0.045</v>
      </c>
      <c r="O21" s="39">
        <v>0.045</v>
      </c>
    </row>
    <row r="22" spans="2:15" s="1" customFormat="1" ht="11.25" thickBot="1">
      <c r="B22" s="40" t="s">
        <v>15</v>
      </c>
      <c r="C22" s="41">
        <v>0.27</v>
      </c>
      <c r="D22" s="41">
        <v>0.27</v>
      </c>
      <c r="E22" s="41">
        <v>0.27</v>
      </c>
      <c r="F22" s="41">
        <v>0.27</v>
      </c>
      <c r="G22" s="41">
        <v>0.27</v>
      </c>
      <c r="H22" s="41">
        <v>0.27</v>
      </c>
      <c r="I22" s="41">
        <v>0.27</v>
      </c>
      <c r="J22" s="41">
        <v>0.27</v>
      </c>
      <c r="K22" s="41">
        <v>0.27</v>
      </c>
      <c r="L22" s="41">
        <v>0.27</v>
      </c>
      <c r="M22" s="41">
        <v>0.27</v>
      </c>
      <c r="N22" s="41">
        <v>0.27</v>
      </c>
      <c r="O22" s="42">
        <v>0.27</v>
      </c>
    </row>
    <row r="23" spans="2:15" s="1" customFormat="1" ht="11.25" thickBot="1">
      <c r="B23" s="21" t="s">
        <v>16</v>
      </c>
      <c r="C23" s="31">
        <f>C20+C21*C22</f>
        <v>0.062150000000000004</v>
      </c>
      <c r="D23" s="23">
        <f aca="true" t="shared" si="7" ref="D23:O23">D20+D21*D22</f>
        <v>0.062150000000000004</v>
      </c>
      <c r="E23" s="23">
        <f t="shared" si="7"/>
        <v>0.062150000000000004</v>
      </c>
      <c r="F23" s="23">
        <f t="shared" si="7"/>
        <v>0.062150000000000004</v>
      </c>
      <c r="G23" s="23">
        <f t="shared" si="7"/>
        <v>0.062150000000000004</v>
      </c>
      <c r="H23" s="23">
        <f t="shared" si="7"/>
        <v>0.062150000000000004</v>
      </c>
      <c r="I23" s="23">
        <f t="shared" si="7"/>
        <v>0.062150000000000004</v>
      </c>
      <c r="J23" s="23">
        <f t="shared" si="7"/>
        <v>0.062150000000000004</v>
      </c>
      <c r="K23" s="23">
        <f t="shared" si="7"/>
        <v>0.062150000000000004</v>
      </c>
      <c r="L23" s="23">
        <f t="shared" si="7"/>
        <v>0.062150000000000004</v>
      </c>
      <c r="M23" s="23">
        <f t="shared" si="7"/>
        <v>0.062150000000000004</v>
      </c>
      <c r="N23" s="23">
        <f t="shared" si="7"/>
        <v>0.062150000000000004</v>
      </c>
      <c r="O23" s="24">
        <f t="shared" si="7"/>
        <v>0.062150000000000004</v>
      </c>
    </row>
    <row r="24" spans="1:17" ht="12" customHeight="1" thickBot="1">
      <c r="A24" s="1"/>
      <c r="B24" s="38" t="s">
        <v>17</v>
      </c>
      <c r="C24" s="43"/>
      <c r="D24" s="43">
        <f>D22*(C32)/C28</f>
        <v>0.4540466329746357</v>
      </c>
      <c r="E24" s="43">
        <f>E22*(D32)/D28</f>
        <v>0.4247445808462385</v>
      </c>
      <c r="F24" s="43">
        <f>F22*(E32)/E28</f>
        <v>0.5021766533302545</v>
      </c>
      <c r="G24" s="43">
        <f>G22*(F32)/F28</f>
        <v>0.5213172221995832</v>
      </c>
      <c r="H24" s="43">
        <f>H22*(G32)/G28</f>
        <v>0.5262689472310853</v>
      </c>
      <c r="I24" s="43">
        <f>I22*(H32)/H28</f>
        <v>0.5664796925620369</v>
      </c>
      <c r="J24" s="43">
        <f>J22*(I32)/I28</f>
        <v>0.5933637418389358</v>
      </c>
      <c r="K24" s="43">
        <f>K22*(J32)/J28</f>
        <v>0.5648653259854004</v>
      </c>
      <c r="L24" s="43">
        <f>L22*(K32)/K28</f>
        <v>0.539211221575606</v>
      </c>
      <c r="M24" s="43">
        <f>M22*(L32)/L28</f>
        <v>0.516007879906262</v>
      </c>
      <c r="N24" s="43">
        <f>N22*(M32)/M28</f>
        <v>0.4949167626713069</v>
      </c>
      <c r="O24" s="44">
        <f>O22*(N32)/N28</f>
        <v>0.49266885594008325</v>
      </c>
      <c r="Q24" s="1"/>
    </row>
    <row r="25" spans="2:15" s="1" customFormat="1" ht="12.75" customHeight="1" thickBot="1">
      <c r="B25" s="21" t="s">
        <v>18</v>
      </c>
      <c r="C25" s="29"/>
      <c r="D25" s="33">
        <f aca="true" t="shared" si="8" ref="D25:O25">D20+D21*D24</f>
        <v>0.0704320984838586</v>
      </c>
      <c r="E25" s="33">
        <f t="shared" si="8"/>
        <v>0.06911350613808073</v>
      </c>
      <c r="F25" s="33">
        <f t="shared" si="8"/>
        <v>0.07259794939986146</v>
      </c>
      <c r="G25" s="33">
        <f t="shared" si="8"/>
        <v>0.07345927499898125</v>
      </c>
      <c r="H25" s="33">
        <f t="shared" si="8"/>
        <v>0.07368210262539884</v>
      </c>
      <c r="I25" s="33">
        <f t="shared" si="8"/>
        <v>0.07549158616529167</v>
      </c>
      <c r="J25" s="33">
        <f t="shared" si="8"/>
        <v>0.07670136838275211</v>
      </c>
      <c r="K25" s="33">
        <f t="shared" si="8"/>
        <v>0.07541893966934302</v>
      </c>
      <c r="L25" s="33">
        <f t="shared" si="8"/>
        <v>0.07426450497090227</v>
      </c>
      <c r="M25" s="33">
        <f t="shared" si="8"/>
        <v>0.07322035459578179</v>
      </c>
      <c r="N25" s="33">
        <f t="shared" si="8"/>
        <v>0.07227125432020881</v>
      </c>
      <c r="O25" s="34">
        <f t="shared" si="8"/>
        <v>0.07217009851730374</v>
      </c>
    </row>
    <row r="26" spans="1:15" ht="12.75" customHeight="1">
      <c r="A26" s="1"/>
      <c r="B26" s="38" t="s">
        <v>19</v>
      </c>
      <c r="C26" s="45"/>
      <c r="D26" s="45">
        <f>(1+D25)</f>
        <v>1.0704320984838587</v>
      </c>
      <c r="E26" s="45">
        <f aca="true" t="shared" si="9" ref="E26:O26">(1+E25)*D26</f>
        <v>1.1444134138928215</v>
      </c>
      <c r="F26" s="45">
        <f t="shared" si="9"/>
        <v>1.2274954810071352</v>
      </c>
      <c r="G26" s="45">
        <f t="shared" si="9"/>
        <v>1.3176664091064452</v>
      </c>
      <c r="H26" s="45">
        <f t="shared" si="9"/>
        <v>1.414754840688267</v>
      </c>
      <c r="I26" s="45">
        <f t="shared" si="9"/>
        <v>1.5215569276468488</v>
      </c>
      <c r="J26" s="45">
        <f t="shared" si="9"/>
        <v>1.6382624260696184</v>
      </c>
      <c r="K26" s="45">
        <f t="shared" si="9"/>
        <v>1.7618184411439144</v>
      </c>
      <c r="L26" s="45">
        <f t="shared" si="9"/>
        <v>1.892659015524074</v>
      </c>
      <c r="M26" s="45">
        <f t="shared" si="9"/>
        <v>2.0312401797696498</v>
      </c>
      <c r="N26" s="45">
        <f t="shared" si="9"/>
        <v>2.178040455387209</v>
      </c>
      <c r="O26" s="46">
        <f t="shared" si="9"/>
        <v>2.335229849627177</v>
      </c>
    </row>
    <row r="27" spans="1:16" ht="12.75" customHeight="1" thickBot="1">
      <c r="A27" s="1"/>
      <c r="B27" s="38" t="s">
        <v>20</v>
      </c>
      <c r="C27" s="45"/>
      <c r="D27" s="9">
        <f aca="true" t="shared" si="10" ref="D27:N27">(D19)/D26</f>
        <v>-28026.346134933836</v>
      </c>
      <c r="E27" s="9">
        <f t="shared" si="10"/>
        <v>0.13280337609536996</v>
      </c>
      <c r="F27" s="9">
        <f t="shared" si="10"/>
        <v>-0.06817856244578648</v>
      </c>
      <c r="G27" s="9">
        <f t="shared" si="10"/>
        <v>0.001718254820640594</v>
      </c>
      <c r="H27" s="9">
        <f t="shared" si="10"/>
        <v>0.00872911930131327</v>
      </c>
      <c r="I27" s="9">
        <f t="shared" si="10"/>
        <v>0.015258830911342235</v>
      </c>
      <c r="J27" s="9">
        <f t="shared" si="10"/>
        <v>3437.198589140537</v>
      </c>
      <c r="K27" s="9">
        <f t="shared" si="10"/>
        <v>3632.976976489241</v>
      </c>
      <c r="L27" s="9">
        <f t="shared" si="10"/>
        <v>3795.9359339447296</v>
      </c>
      <c r="M27" s="9">
        <f t="shared" si="10"/>
        <v>3920.1815920706917</v>
      </c>
      <c r="N27" s="9">
        <f t="shared" si="10"/>
        <v>9412.470904547776</v>
      </c>
      <c r="O27" s="47">
        <f>(O19+P27)/O26</f>
        <v>152912.6676700905</v>
      </c>
      <c r="P27" s="7">
        <f>O19*1.01/(O25-0.01)</f>
        <v>336380.47608990327</v>
      </c>
    </row>
    <row r="28" spans="1:15" ht="12.75" customHeight="1" thickBot="1">
      <c r="A28" s="1"/>
      <c r="B28" s="17" t="s">
        <v>21</v>
      </c>
      <c r="C28" s="14">
        <f>SUM(D27:O27)</f>
        <v>149085.17586236834</v>
      </c>
      <c r="D28" s="18">
        <f aca="true" t="shared" si="11" ref="D28:O28">C28*(1+D25)-(D19)</f>
        <v>189585.85815724227</v>
      </c>
      <c r="E28" s="18">
        <f t="shared" si="11"/>
        <v>202688.6495467211</v>
      </c>
      <c r="F28" s="18">
        <f t="shared" si="11"/>
        <v>217403.5135593175</v>
      </c>
      <c r="G28" s="18">
        <f t="shared" si="11"/>
        <v>233373.8157835295</v>
      </c>
      <c r="H28" s="18">
        <f t="shared" si="11"/>
        <v>250569.27687860868</v>
      </c>
      <c r="I28" s="18">
        <f t="shared" si="11"/>
        <v>269485.1258172851</v>
      </c>
      <c r="J28" s="18">
        <f t="shared" si="11"/>
        <v>284523.97042674053</v>
      </c>
      <c r="K28" s="18">
        <f t="shared" si="11"/>
        <v>299581.8207534068</v>
      </c>
      <c r="L28" s="18">
        <f t="shared" si="11"/>
        <v>314645.70400220784</v>
      </c>
      <c r="M28" s="18">
        <f t="shared" si="11"/>
        <v>329721.3436594815</v>
      </c>
      <c r="N28" s="18">
        <f t="shared" si="11"/>
        <v>333049.97632663674</v>
      </c>
      <c r="O28" s="19">
        <f t="shared" si="11"/>
        <v>336380.4760899031</v>
      </c>
    </row>
    <row r="29" spans="1:15" ht="18" customHeight="1" thickBot="1">
      <c r="A29" s="1"/>
      <c r="B29" s="21" t="s">
        <v>22</v>
      </c>
      <c r="C29" s="22"/>
      <c r="D29" s="22"/>
      <c r="E29" s="30">
        <f>C28</f>
        <v>149085.17586236834</v>
      </c>
      <c r="F29" s="27" t="s">
        <v>40</v>
      </c>
      <c r="G29" s="27"/>
      <c r="H29" s="27"/>
      <c r="I29" s="27"/>
      <c r="J29" s="27"/>
      <c r="K29" s="27"/>
      <c r="L29" s="27"/>
      <c r="M29" s="27"/>
      <c r="N29" s="27"/>
      <c r="O29" s="48"/>
    </row>
    <row r="30" spans="1:15" ht="12" customHeight="1">
      <c r="A30" s="1"/>
      <c r="B30" s="10" t="s">
        <v>23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5" customHeight="1">
      <c r="A31" s="1"/>
      <c r="B31" s="7" t="s">
        <v>24</v>
      </c>
      <c r="C31" s="8">
        <f aca="true" t="shared" si="12" ref="C31:O31">C7</f>
        <v>101624.53571814937</v>
      </c>
      <c r="D31" s="8">
        <f t="shared" si="12"/>
        <v>108656.97835154399</v>
      </c>
      <c r="E31" s="8">
        <f t="shared" si="12"/>
        <v>174294.71229550563</v>
      </c>
      <c r="F31" s="8">
        <f t="shared" si="12"/>
        <v>202360.17453391512</v>
      </c>
      <c r="G31" s="8">
        <f t="shared" si="12"/>
        <v>221505.4151190605</v>
      </c>
      <c r="H31" s="8">
        <f t="shared" si="12"/>
        <v>275143.34138689557</v>
      </c>
      <c r="I31" s="8">
        <f t="shared" si="12"/>
        <v>322747.10612671735</v>
      </c>
      <c r="J31" s="8">
        <f t="shared" si="12"/>
        <v>310726.86403904174</v>
      </c>
      <c r="K31" s="8">
        <f t="shared" si="12"/>
        <v>298706.62195136613</v>
      </c>
      <c r="L31" s="8">
        <f t="shared" si="12"/>
        <v>286686.3798636904</v>
      </c>
      <c r="M31" s="8">
        <f t="shared" si="12"/>
        <v>274666.1377760148</v>
      </c>
      <c r="N31" s="8">
        <f t="shared" si="12"/>
        <v>274666.1377760148</v>
      </c>
      <c r="O31" s="8">
        <f t="shared" si="12"/>
        <v>277412.799153775</v>
      </c>
    </row>
    <row r="32" spans="1:15" ht="13.5" customHeight="1" thickBot="1">
      <c r="A32" s="1"/>
      <c r="B32" s="25" t="s">
        <v>25</v>
      </c>
      <c r="C32" s="26">
        <f>C28+C31</f>
        <v>250709.7115805177</v>
      </c>
      <c r="D32" s="26">
        <f>D28+D31</f>
        <v>298242.83650878625</v>
      </c>
      <c r="E32" s="26">
        <f>E28+E31</f>
        <v>376983.3618422267</v>
      </c>
      <c r="F32" s="26">
        <f>F28+F31</f>
        <v>419763.68809323263</v>
      </c>
      <c r="G32" s="26">
        <f>G28+G31</f>
        <v>454879.23090259</v>
      </c>
      <c r="H32" s="26">
        <f>H28+H31</f>
        <v>525712.6182655043</v>
      </c>
      <c r="I32" s="26">
        <f>I28+I31</f>
        <v>592232.2319440024</v>
      </c>
      <c r="J32" s="26">
        <f>J28+J31</f>
        <v>595250.8344657823</v>
      </c>
      <c r="K32" s="26">
        <f>K28+K31</f>
        <v>598288.4427047729</v>
      </c>
      <c r="L32" s="26">
        <f>L28+L31</f>
        <v>601332.0838658982</v>
      </c>
      <c r="M32" s="26">
        <f>M28+M31</f>
        <v>604387.4814354964</v>
      </c>
      <c r="N32" s="26">
        <f>N28+N31</f>
        <v>607716.1141026516</v>
      </c>
      <c r="O32" s="26">
        <f>O28+O31</f>
        <v>613793.2752436781</v>
      </c>
    </row>
    <row r="33" spans="2:15" s="1" customFormat="1" ht="13.5" customHeight="1">
      <c r="B33" s="5" t="s">
        <v>26</v>
      </c>
      <c r="C33" s="1">
        <v>2001</v>
      </c>
      <c r="D33" s="1">
        <f aca="true" t="shared" si="13" ref="D33:O33">C33+1</f>
        <v>2002</v>
      </c>
      <c r="E33" s="1">
        <f t="shared" si="13"/>
        <v>2003</v>
      </c>
      <c r="F33" s="1">
        <f t="shared" si="13"/>
        <v>2004</v>
      </c>
      <c r="G33" s="1">
        <f t="shared" si="13"/>
        <v>2005</v>
      </c>
      <c r="H33" s="1">
        <f t="shared" si="13"/>
        <v>2006</v>
      </c>
      <c r="I33" s="1">
        <f t="shared" si="13"/>
        <v>2007</v>
      </c>
      <c r="J33" s="1">
        <f t="shared" si="13"/>
        <v>2008</v>
      </c>
      <c r="K33" s="1">
        <f t="shared" si="13"/>
        <v>2009</v>
      </c>
      <c r="L33" s="6">
        <f t="shared" si="13"/>
        <v>2010</v>
      </c>
      <c r="M33" s="1">
        <f t="shared" si="13"/>
        <v>2011</v>
      </c>
      <c r="N33" s="1">
        <f t="shared" si="13"/>
        <v>2012</v>
      </c>
      <c r="O33" s="1">
        <f t="shared" si="13"/>
        <v>2013</v>
      </c>
    </row>
    <row r="34" spans="1:15" ht="13.5" customHeight="1">
      <c r="A34" s="1"/>
      <c r="B34" s="7" t="s">
        <v>27</v>
      </c>
      <c r="C34" s="13"/>
      <c r="D34" s="13">
        <f>(D10)/(C31)</f>
        <v>0.06097380669351643</v>
      </c>
      <c r="E34" s="13">
        <f>(E10)/(D31)</f>
        <v>0.09181923778970076</v>
      </c>
      <c r="F34" s="13">
        <f>(F10)/(E31)</f>
        <v>0.07765463686457334</v>
      </c>
      <c r="G34" s="13">
        <f>(G10)/(F31)</f>
        <v>0.07469579654231227</v>
      </c>
      <c r="H34" s="13">
        <f>(H10)/(G31)</f>
        <v>0.08039527450522856</v>
      </c>
      <c r="I34" s="13">
        <f>(I10)/(H31)</f>
        <v>0.06994320664045434</v>
      </c>
      <c r="J34" s="13">
        <f>(J10)/(I31)</f>
        <v>0.058788914835216005</v>
      </c>
      <c r="K34" s="13">
        <f>(K10)/(J31)</f>
        <v>0.05872272275370112</v>
      </c>
      <c r="L34" s="13">
        <f>(L10)/(K31)</f>
        <v>0.05867132388743797</v>
      </c>
      <c r="M34" s="13">
        <f>(M10)/(L31)</f>
        <v>0.05861561489792582</v>
      </c>
      <c r="N34" s="13">
        <f>(N10)/(M31)</f>
        <v>0.05999921226417159</v>
      </c>
      <c r="O34" s="13">
        <f>(O10)/(N31)</f>
        <v>0.060599204386813314</v>
      </c>
    </row>
    <row r="35" spans="1:15" ht="13.5" customHeight="1">
      <c r="A35" s="1"/>
      <c r="B35" s="7" t="s">
        <v>28</v>
      </c>
      <c r="C35" s="13"/>
      <c r="D35" s="13">
        <f>(D25*(C28)+D34*0.65*C31)/C32</f>
        <v>0.05794775286031872</v>
      </c>
      <c r="E35" s="13">
        <f>(E25*(D28)+E34*1744.4/2378*D31)/D32</f>
        <v>0.06847273139074986</v>
      </c>
      <c r="F35" s="13">
        <f>(F25*(E28)+F34*0.65*E31)/E32</f>
        <v>0.062369849408710015</v>
      </c>
      <c r="G35" s="13">
        <f>(G25*(F28)+G34*0.65*F31)/F32</f>
        <v>0.06145207552822721</v>
      </c>
      <c r="H35" s="13">
        <f>(H25*(G28)+H34*0.65*G31)/G32</f>
        <v>0.0632490210905749</v>
      </c>
      <c r="I35" s="13">
        <f>(I25*(H28)+I34*0.65*H31)/H32</f>
        <v>0.05977550470079324</v>
      </c>
      <c r="J35" s="13">
        <f>(J25*(I28)+J34*0.65*I31)/I32</f>
        <v>0.05572636039862119</v>
      </c>
      <c r="K35" s="13">
        <f>(K25*(J28)+K34*0.65*J31)/J32</f>
        <v>0.0559745020062146</v>
      </c>
      <c r="L35" s="13">
        <f>(L25*(K28)+L34*0.65*K31)/K32</f>
        <v>0.05622685755209086</v>
      </c>
      <c r="M35" s="13">
        <f>(M25*(L28)+M34*0.65*L31)/L32</f>
        <v>0.05647672046004708</v>
      </c>
      <c r="N35" s="13">
        <f>(N25*(M28)+N34*0.65*M31)/M32</f>
        <v>0.05715077641384592</v>
      </c>
      <c r="O35" s="13">
        <f>(O25*(N28)+O34*0.65*N31)/N32</f>
        <v>0.05735442243117484</v>
      </c>
    </row>
    <row r="36" spans="1:15" ht="12.75" customHeight="1">
      <c r="A36" s="1"/>
      <c r="B36" s="7" t="s">
        <v>29</v>
      </c>
      <c r="C36" s="20"/>
      <c r="D36" s="20">
        <f>(1+D35)</f>
        <v>1.0579477528603187</v>
      </c>
      <c r="E36" s="20">
        <f aca="true" t="shared" si="14" ref="E36:O36">(1+E35)*D36</f>
        <v>1.1303883251673708</v>
      </c>
      <c r="F36" s="20">
        <f t="shared" si="14"/>
        <v>1.2008904747814235</v>
      </c>
      <c r="G36" s="20">
        <f t="shared" si="14"/>
        <v>1.2746876869388204</v>
      </c>
      <c r="H36" s="20">
        <f t="shared" si="14"/>
        <v>1.35531043533391</v>
      </c>
      <c r="I36" s="20">
        <f t="shared" si="14"/>
        <v>1.4363248006322464</v>
      </c>
      <c r="J36" s="20">
        <f t="shared" si="14"/>
        <v>1.5163659541217567</v>
      </c>
      <c r="K36" s="20">
        <f t="shared" si="14"/>
        <v>1.6012437832629005</v>
      </c>
      <c r="L36" s="20">
        <f t="shared" si="14"/>
        <v>1.6912766893705946</v>
      </c>
      <c r="M36" s="20">
        <f t="shared" si="14"/>
        <v>1.7867944501767716</v>
      </c>
      <c r="N36" s="20">
        <f t="shared" si="14"/>
        <v>1.888911140296325</v>
      </c>
      <c r="O36" s="20">
        <f t="shared" si="14"/>
        <v>1.9972485477718327</v>
      </c>
    </row>
    <row r="37" spans="1:16" ht="12.75" customHeight="1" thickBot="1">
      <c r="A37" s="1"/>
      <c r="B37" s="7" t="s">
        <v>30</v>
      </c>
      <c r="C37" s="8"/>
      <c r="D37" s="8">
        <f>D15/D36</f>
        <v>-31197.24998959999</v>
      </c>
      <c r="E37" s="8">
        <f>E15/E36</f>
        <v>-51592.0258565339</v>
      </c>
      <c r="F37" s="8">
        <f>F15/F36</f>
        <v>-16044.702783427432</v>
      </c>
      <c r="G37" s="8">
        <f>G15/G36</f>
        <v>-7311.746273338056</v>
      </c>
      <c r="H37" s="8">
        <f>H15/H36</f>
        <v>-31035.488399769296</v>
      </c>
      <c r="I37" s="8">
        <f>I15/I36</f>
        <v>-24433.80256238286</v>
      </c>
      <c r="J37" s="8">
        <f>J15/J36</f>
        <v>19773.817918892593</v>
      </c>
      <c r="K37" s="8">
        <f>K15/K36</f>
        <v>18911.087184557357</v>
      </c>
      <c r="L37" s="8">
        <f>L15/L36</f>
        <v>18090.616440343983</v>
      </c>
      <c r="M37" s="8">
        <f>M15/M36</f>
        <v>17296.822492087</v>
      </c>
      <c r="N37" s="8">
        <f>N15/N36</f>
        <v>16524.113011899404</v>
      </c>
      <c r="O37" s="8">
        <f>(O15+P37)/O36</f>
        <v>321728.2703977885</v>
      </c>
      <c r="P37" s="7">
        <f>O15*1.01/(O35-0.01)</f>
        <v>613793.2752436777</v>
      </c>
    </row>
    <row r="38" spans="1:16" ht="12.75" customHeight="1" thickBot="1">
      <c r="A38" s="1"/>
      <c r="B38" s="25" t="s">
        <v>31</v>
      </c>
      <c r="C38" s="14">
        <f>SUM(D37:O37)</f>
        <v>250709.7115805173</v>
      </c>
      <c r="D38" s="27">
        <f>C38*(1+D35)-D15</f>
        <v>298242.83650878584</v>
      </c>
      <c r="E38" s="27">
        <f>D38*(1+E35)-E15</f>
        <v>376983.3618422263</v>
      </c>
      <c r="F38" s="27">
        <f>E38*(1+F35)-F15</f>
        <v>419763.68809323217</v>
      </c>
      <c r="G38" s="27">
        <f>F38*(1+G35)-G15</f>
        <v>454879.23090258957</v>
      </c>
      <c r="H38" s="27">
        <f>G38*(1+H35)-H15</f>
        <v>525712.6182655038</v>
      </c>
      <c r="I38" s="27">
        <f>H38*(1+I35)-I15</f>
        <v>592232.231944002</v>
      </c>
      <c r="J38" s="27">
        <f>I38*(1+J35)-J15</f>
        <v>595250.8344657818</v>
      </c>
      <c r="K38" s="27">
        <f>J38*(1+K35)-K15</f>
        <v>598288.4427047723</v>
      </c>
      <c r="L38" s="27">
        <f>K38*(1+L35)-L15</f>
        <v>601332.0838658976</v>
      </c>
      <c r="M38" s="27">
        <f>L38*(1+M35)-M15</f>
        <v>604387.4814354957</v>
      </c>
      <c r="N38" s="27">
        <f>M38*(1+N35)-N15</f>
        <v>607716.1141026509</v>
      </c>
      <c r="O38" s="27">
        <f>N38*(1+O35)-O15</f>
        <v>613793.2752436774</v>
      </c>
      <c r="P38" s="10"/>
    </row>
    <row r="39" spans="1:16" ht="12.75" customHeight="1">
      <c r="A39" s="1"/>
      <c r="B39" s="10"/>
      <c r="C39" s="11">
        <f aca="true" t="shared" si="15" ref="C39:O39">C32-C38</f>
        <v>4.0745362639427185E-10</v>
      </c>
      <c r="D39" s="11">
        <f t="shared" si="15"/>
        <v>0</v>
      </c>
      <c r="E39" s="11">
        <f t="shared" si="15"/>
        <v>0</v>
      </c>
      <c r="F39" s="11">
        <f t="shared" si="15"/>
        <v>4.656612873077393E-10</v>
      </c>
      <c r="G39" s="11">
        <f t="shared" si="15"/>
        <v>0</v>
      </c>
      <c r="H39" s="11">
        <f t="shared" si="15"/>
        <v>0</v>
      </c>
      <c r="I39" s="11">
        <f t="shared" si="15"/>
        <v>0</v>
      </c>
      <c r="J39" s="11">
        <f t="shared" si="15"/>
        <v>0</v>
      </c>
      <c r="K39" s="11">
        <f t="shared" si="15"/>
        <v>0</v>
      </c>
      <c r="L39" s="11">
        <f t="shared" si="15"/>
        <v>0</v>
      </c>
      <c r="M39" s="11">
        <f t="shared" si="15"/>
        <v>0</v>
      </c>
      <c r="N39" s="11">
        <f t="shared" si="15"/>
        <v>0</v>
      </c>
      <c r="O39" s="11">
        <f t="shared" si="15"/>
        <v>0</v>
      </c>
      <c r="P39" s="10"/>
    </row>
    <row r="40" spans="1:15" ht="12.75" customHeight="1">
      <c r="A40" s="1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6" ht="12.75" customHeight="1">
      <c r="A41" s="1"/>
      <c r="B41" s="12" t="s">
        <v>32</v>
      </c>
      <c r="C41" s="9">
        <f>C19+C10+C14</f>
        <v>-60043.37804863389</v>
      </c>
      <c r="D41" s="9">
        <f>D19+D10+D14</f>
        <v>-30836.308343250028</v>
      </c>
      <c r="E41" s="9">
        <f>E19+E10+E14</f>
        <v>-55660.78102922584</v>
      </c>
      <c r="F41" s="9">
        <f>F19+F10+F14</f>
        <v>-14530.753336564027</v>
      </c>
      <c r="G41" s="9">
        <f>G19+G10+G14</f>
        <v>-4029.783895806582</v>
      </c>
      <c r="H41" s="9">
        <f>H19+H10+H14</f>
        <v>-35829.92526537982</v>
      </c>
      <c r="I41" s="9">
        <f>I19+I10+I14</f>
        <v>-28359.33394027319</v>
      </c>
      <c r="J41" s="9">
        <f>J19+J10+J14</f>
        <v>36625.227522600064</v>
      </c>
      <c r="K41" s="9">
        <f>K19+K10+K14</f>
        <v>36667.61541019724</v>
      </c>
      <c r="L41" s="9">
        <f>L19+L10+L14</f>
        <v>36730.1674192391</v>
      </c>
      <c r="M41" s="9">
        <f>M19+M10+M14</f>
        <v>36787.370888053505</v>
      </c>
      <c r="N41" s="9">
        <f>N19+N10+N14</f>
        <v>36980.49431746341</v>
      </c>
      <c r="O41" s="9">
        <f>O19+O10+O14</f>
        <v>34603.63788287787</v>
      </c>
      <c r="P41" s="7">
        <f>O41*1.01/(O42-0.01)</f>
        <v>613793.2752436779</v>
      </c>
    </row>
    <row r="42" spans="1:15" ht="12.75" customHeight="1">
      <c r="A42" s="1"/>
      <c r="B42" s="7" t="s">
        <v>33</v>
      </c>
      <c r="C42" s="13"/>
      <c r="D42" s="13">
        <f>(C31*D34+C28*D25)/C32</f>
        <v>0.06659820427281761</v>
      </c>
      <c r="E42" s="13">
        <f>(D31*E34+D28*E25)/D32</f>
        <v>0.07738574570435566</v>
      </c>
      <c r="F42" s="13">
        <f>(E31*F34+E28*F25)/E32</f>
        <v>0.07493586129741388</v>
      </c>
      <c r="G42" s="13">
        <f>(F31*G34+F28*G25)/F32</f>
        <v>0.07405537876503125</v>
      </c>
      <c r="H42" s="13">
        <f>(G31*H34+G28*H25)/G32</f>
        <v>0.07695111079940738</v>
      </c>
      <c r="I42" s="13">
        <f>(H31*I34+H28*I25)/H32</f>
        <v>0.07258771886459205</v>
      </c>
      <c r="J42" s="13">
        <f>(I31*J34+I28*J25)/I32</f>
        <v>0.06693966978840211</v>
      </c>
      <c r="K42" s="13">
        <f>(J31*K34+J28*K25)/J32</f>
        <v>0.06670334815208118</v>
      </c>
      <c r="L42" s="13">
        <f>(K31*L34+K28*L25)/K32</f>
        <v>0.06647931957460679</v>
      </c>
      <c r="M42" s="13">
        <f>(L31*M34+L28*M25)/L32</f>
        <v>0.06625751315563741</v>
      </c>
      <c r="N42" s="13">
        <f>(M31*N34+M28*N25)/M32</f>
        <v>0.06669417918597423</v>
      </c>
      <c r="O42" s="13">
        <f>(N31*O34+N28*O25)/N32</f>
        <v>0.06694046460159003</v>
      </c>
    </row>
    <row r="43" spans="1:15" ht="12.75" customHeight="1">
      <c r="A43" s="1"/>
      <c r="B43" s="7" t="s">
        <v>34</v>
      </c>
      <c r="C43" s="8"/>
      <c r="D43" s="20">
        <f>(1+D42)</f>
        <v>1.0665982042728177</v>
      </c>
      <c r="E43" s="20">
        <f aca="true" t="shared" si="16" ref="E43:O43">(1+E42)*D43</f>
        <v>1.1491377016773963</v>
      </c>
      <c r="F43" s="20">
        <f t="shared" si="16"/>
        <v>1.2352493251019225</v>
      </c>
      <c r="G43" s="20">
        <f t="shared" si="16"/>
        <v>1.3267261817415947</v>
      </c>
      <c r="H43" s="20">
        <f t="shared" si="16"/>
        <v>1.428819235153267</v>
      </c>
      <c r="I43" s="20">
        <f t="shared" si="16"/>
        <v>1.5325339641028937</v>
      </c>
      <c r="J43" s="20">
        <f t="shared" si="16"/>
        <v>1.6351212815994522</v>
      </c>
      <c r="K43" s="20">
        <f t="shared" si="16"/>
        <v>1.7441893457168576</v>
      </c>
      <c r="L43" s="20">
        <f t="shared" si="16"/>
        <v>1.8601418666293927</v>
      </c>
      <c r="M43" s="20">
        <f t="shared" si="16"/>
        <v>1.9833902408289414</v>
      </c>
      <c r="N43" s="20">
        <f t="shared" si="16"/>
        <v>2.1156708249464997</v>
      </c>
      <c r="O43" s="20">
        <f t="shared" si="16"/>
        <v>2.257294812912448</v>
      </c>
    </row>
    <row r="44" spans="1:15" ht="12.75" customHeight="1" thickBot="1">
      <c r="A44" s="1"/>
      <c r="B44" s="7" t="s">
        <v>35</v>
      </c>
      <c r="C44" s="8"/>
      <c r="D44" s="8">
        <f aca="true" t="shared" si="17" ref="D44:N44">D41/D43</f>
        <v>-28910.894674038496</v>
      </c>
      <c r="E44" s="8">
        <f t="shared" si="17"/>
        <v>-48436.998410179905</v>
      </c>
      <c r="F44" s="8">
        <f t="shared" si="17"/>
        <v>-11763.41734521091</v>
      </c>
      <c r="G44" s="8">
        <f t="shared" si="17"/>
        <v>-3037.389290468875</v>
      </c>
      <c r="H44" s="8">
        <f t="shared" si="17"/>
        <v>-25076.597783579255</v>
      </c>
      <c r="I44" s="8">
        <f t="shared" si="17"/>
        <v>-18504.864886876436</v>
      </c>
      <c r="J44" s="8">
        <f t="shared" si="17"/>
        <v>22399.089250904857</v>
      </c>
      <c r="K44" s="8">
        <f t="shared" si="17"/>
        <v>21022.726403094122</v>
      </c>
      <c r="L44" s="8">
        <f t="shared" si="17"/>
        <v>19745.895771807318</v>
      </c>
      <c r="M44" s="8">
        <f t="shared" si="17"/>
        <v>18547.722042172867</v>
      </c>
      <c r="N44" s="8">
        <f t="shared" si="17"/>
        <v>17479.32328669256</v>
      </c>
      <c r="O44" s="8">
        <f>(O41+P41)/O43</f>
        <v>287245.11721619975</v>
      </c>
    </row>
    <row r="45" spans="1:15" ht="12.75" customHeight="1" thickBot="1">
      <c r="A45" s="1"/>
      <c r="B45" s="25" t="s">
        <v>36</v>
      </c>
      <c r="C45" s="14">
        <f>SUM(D44:O44)</f>
        <v>250709.7115805176</v>
      </c>
      <c r="D45" s="27">
        <f aca="true" t="shared" si="18" ref="D45:O45">C45*(1+D42)-D41</f>
        <v>298242.83650878613</v>
      </c>
      <c r="E45" s="27">
        <f t="shared" si="18"/>
        <v>376983.36184222664</v>
      </c>
      <c r="F45" s="27">
        <f t="shared" si="18"/>
        <v>419763.6880932326</v>
      </c>
      <c r="G45" s="27">
        <f t="shared" si="18"/>
        <v>454879.23090259</v>
      </c>
      <c r="H45" s="27">
        <f t="shared" si="18"/>
        <v>525712.6182655043</v>
      </c>
      <c r="I45" s="27">
        <f t="shared" si="18"/>
        <v>592232.2319440024</v>
      </c>
      <c r="J45" s="27">
        <f t="shared" si="18"/>
        <v>595250.8344657823</v>
      </c>
      <c r="K45" s="27">
        <f t="shared" si="18"/>
        <v>598288.4427047728</v>
      </c>
      <c r="L45" s="27">
        <f t="shared" si="18"/>
        <v>601332.0838658981</v>
      </c>
      <c r="M45" s="27">
        <f t="shared" si="18"/>
        <v>604387.4814354961</v>
      </c>
      <c r="N45" s="27">
        <f t="shared" si="18"/>
        <v>607716.1141026515</v>
      </c>
      <c r="O45" s="27">
        <f t="shared" si="18"/>
        <v>613793.275243678</v>
      </c>
    </row>
    <row r="46" spans="1:15" ht="10.5" customHeight="1">
      <c r="A46" s="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ht="10.5">
      <c r="B47" s="28"/>
      <c r="C47" s="8"/>
      <c r="D47" s="8"/>
      <c r="E47" s="8"/>
      <c r="F47" s="8"/>
      <c r="G47" s="8"/>
      <c r="H47" s="8"/>
      <c r="I47" s="8"/>
      <c r="J47" s="8"/>
      <c r="K47" s="8"/>
      <c r="L47" s="9"/>
      <c r="M47" s="8"/>
      <c r="N47" s="8"/>
      <c r="O47" s="8"/>
    </row>
    <row r="48" spans="3:15" ht="10.5">
      <c r="C48" s="8"/>
      <c r="D48" s="8"/>
      <c r="E48" s="8"/>
      <c r="F48" s="8"/>
      <c r="G48" s="8"/>
      <c r="H48" s="8"/>
      <c r="I48" s="8"/>
      <c r="J48" s="8"/>
      <c r="K48" s="8"/>
      <c r="L48" s="9"/>
      <c r="M48" s="8"/>
      <c r="N48" s="8"/>
      <c r="O48" s="8"/>
    </row>
    <row r="49" spans="3:15" ht="10.5">
      <c r="C49" s="8"/>
      <c r="D49" s="8"/>
      <c r="E49" s="8"/>
      <c r="F49" s="8"/>
      <c r="G49" s="8"/>
      <c r="H49" s="8"/>
      <c r="I49" s="8"/>
      <c r="J49" s="8"/>
      <c r="K49" s="8"/>
      <c r="L49" s="9"/>
      <c r="M49" s="8"/>
      <c r="N49" s="8"/>
      <c r="O49" s="8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PFernandez</cp:lastModifiedBy>
  <cp:lastPrinted>2002-09-12T15:47:03Z</cp:lastPrinted>
  <dcterms:created xsi:type="dcterms:W3CDTF">2001-12-08T13:32:11Z</dcterms:created>
  <dcterms:modified xsi:type="dcterms:W3CDTF">2004-03-04T11:59:24Z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-448242918</vt:i4>
  </property>
  <property fmtid="{D5CDD505-2E9C-101B-9397-08002B2CF9AE}" pid="4" name="_EmailSubje">
    <vt:lpwstr>Cambiar estas tablas cap 7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