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5" yWindow="3675" windowWidth="15480" windowHeight="8235" activeTab="0"/>
  </bookViews>
  <sheets>
    <sheet name="eur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<sst xmlns="http://schemas.openxmlformats.org/spreadsheetml/2006/main" count="34" uniqueCount="16">
  <si>
    <t>VALORACION DE LAS ACCIONES EN DICIEMBRE DE 2001</t>
  </si>
  <si>
    <t>Flujo para los accionistas</t>
  </si>
  <si>
    <t>(Miles de euros)</t>
  </si>
  <si>
    <t>Luis Ruiz</t>
  </si>
  <si>
    <t>Raúl García</t>
  </si>
  <si>
    <t>Juan Villa</t>
  </si>
  <si>
    <t>Ke</t>
  </si>
  <si>
    <t>Valor actual de los flujos</t>
  </si>
  <si>
    <t>Suma</t>
  </si>
  <si>
    <t>Crecimiento</t>
  </si>
  <si>
    <t>Residual</t>
  </si>
  <si>
    <t>Valor</t>
  </si>
  <si>
    <t>residual</t>
  </si>
  <si>
    <t>en 2013</t>
  </si>
  <si>
    <t>Menos: Margen para el nuevo socio en 2002</t>
  </si>
  <si>
    <t>Valor de las acciones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</si>
</sst>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000"/>
    <numFmt numFmtId="182" formatCode="0.000"/>
    <numFmt numFmtId="183" formatCode="0.0"/>
    <numFmt numFmtId="184" formatCode="0.0%"/>
    <numFmt numFmtId="185" formatCode="#,##0.000"/>
    <numFmt numFmtId="186" formatCode="#,##0.00000000000"/>
  </numFmts>
  <fonts count="13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sz val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7" xfId="0" applyNumberFormat="1" applyFont="1" applyBorder="1" applyAlignment="1">
      <alignment/>
    </xf>
    <xf numFmtId="184" fontId="9" fillId="0" borderId="0" xfId="1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9" fontId="11" fillId="0" borderId="10" xfId="19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9" fontId="11" fillId="0" borderId="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10" fontId="9" fillId="0" borderId="1" xfId="19" applyNumberFormat="1" applyFont="1" applyBorder="1" applyAlignment="1">
      <alignment/>
    </xf>
    <xf numFmtId="0" fontId="9" fillId="0" borderId="10" xfId="0" applyFont="1" applyBorder="1" applyAlignment="1">
      <alignment/>
    </xf>
    <xf numFmtId="184" fontId="9" fillId="0" borderId="10" xfId="19" applyNumberFormat="1" applyFont="1" applyBorder="1" applyAlignment="1">
      <alignment/>
    </xf>
    <xf numFmtId="184" fontId="9" fillId="0" borderId="11" xfId="19" applyNumberFormat="1" applyFont="1" applyBorder="1" applyAlignment="1">
      <alignment/>
    </xf>
    <xf numFmtId="0" fontId="12" fillId="0" borderId="13" xfId="0" applyFont="1" applyBorder="1" applyAlignment="1">
      <alignment/>
    </xf>
    <xf numFmtId="184" fontId="9" fillId="0" borderId="14" xfId="19" applyNumberFormat="1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6" xfId="1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9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'[1]ASTEDI'!#REF!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'[1]ASTEDI'!$C$3:$R$3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'[1]ASTEDI'!#REF!</c:f>
              <c:numCache>
                <c:ptCount val="1"/>
                <c:pt idx="0">
                  <c:v>0</c:v>
                </c:pt>
              </c:numCache>
            </c:numRef>
          </c:val>
        </c:ser>
        <c:axId val="56032277"/>
        <c:axId val="34528446"/>
      </c:barChart>
      <c:catAx>
        <c:axId val="56032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28446"/>
        <c:crosses val="autoZero"/>
        <c:auto val="0"/>
        <c:lblOffset val="100"/>
        <c:noMultiLvlLbl val="0"/>
      </c:catAx>
      <c:valAx>
        <c:axId val="345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Millones de pesetas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6032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'[1]ASTEDI'!#REF!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'[1]ASTEDI'!$C$3:$R$3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'[1]ASTEDI'!#REF!</c:f>
              <c:numCache>
                <c:ptCount val="1"/>
                <c:pt idx="0">
                  <c:v>0</c:v>
                </c:pt>
              </c:numCache>
            </c:numRef>
          </c:val>
        </c:ser>
        <c:axId val="42320559"/>
        <c:axId val="45340712"/>
      </c:barChart>
      <c:catAx>
        <c:axId val="4232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40712"/>
        <c:crosses val="autoZero"/>
        <c:auto val="0"/>
        <c:lblOffset val="100"/>
        <c:noMultiLvlLbl val="0"/>
      </c:catAx>
      <c:valAx>
        <c:axId val="4534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Millones de pesetas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2320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'[1]ASTEDI'!#REF!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'[1]ASTEDI'!#REF!</c:f>
              <c:numCache>
                <c:ptCount val="1"/>
                <c:pt idx="0">
                  <c:v>0</c:v>
                </c:pt>
              </c:numCache>
            </c:numRef>
          </c:val>
        </c:ser>
        <c:axId val="5413225"/>
        <c:axId val="48719026"/>
      </c:barChart>
      <c:catAx>
        <c:axId val="54132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48719026"/>
        <c:crosses val="autoZero"/>
        <c:auto val="0"/>
        <c:lblOffset val="100"/>
        <c:noMultiLvlLbl val="0"/>
      </c:catAx>
      <c:valAx>
        <c:axId val="48719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3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9</xdr:col>
      <xdr:colOff>228600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240030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228600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0" y="240030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9</xdr:col>
      <xdr:colOff>600075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1143000" y="2400300"/>
        <a:ext cx="6096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FernandezDesktop%20Folder\Caso%20EDIVAL-PUCHADES\ASTEDI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TEDI"/>
      <sheetName val="euro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15.00390625" style="2" customWidth="1"/>
    <col min="2" max="2" width="15.875" style="2" customWidth="1"/>
    <col min="3" max="7" width="7.875" style="3" customWidth="1"/>
    <col min="8" max="8" width="9.00390625" style="3" customWidth="1"/>
    <col min="9" max="12" width="7.875" style="3" customWidth="1"/>
    <col min="13" max="13" width="8.125" style="3" customWidth="1"/>
    <col min="14" max="17" width="7.875" style="3" customWidth="1"/>
    <col min="18" max="18" width="9.125" style="3" customWidth="1"/>
    <col min="19" max="16384" width="12.00390625" style="2" customWidth="1"/>
  </cols>
  <sheetData>
    <row r="1" spans="1:18" ht="13.5" thickBot="1">
      <c r="A1" s="9" t="s">
        <v>0</v>
      </c>
      <c r="B1" s="10"/>
      <c r="C1" s="10"/>
      <c r="D1" s="10"/>
      <c r="E1" s="10"/>
      <c r="F1" s="11"/>
      <c r="O1" s="2"/>
      <c r="P1" s="30"/>
      <c r="Q1" s="31" t="s">
        <v>11</v>
      </c>
      <c r="R1" s="2"/>
    </row>
    <row r="2" spans="2:18" ht="12.75">
      <c r="B2" s="3"/>
      <c r="O2" s="2"/>
      <c r="P2" s="31" t="s">
        <v>9</v>
      </c>
      <c r="Q2" s="32" t="s">
        <v>12</v>
      </c>
      <c r="R2" s="2"/>
    </row>
    <row r="3" spans="1:17" s="1" customFormat="1" ht="12.75">
      <c r="A3" s="4" t="s">
        <v>2</v>
      </c>
      <c r="B3" s="8"/>
      <c r="C3" s="8"/>
      <c r="D3" s="33">
        <v>2002</v>
      </c>
      <c r="E3" s="33">
        <f>D3+1</f>
        <v>2003</v>
      </c>
      <c r="F3" s="33">
        <f>E3+1</f>
        <v>2004</v>
      </c>
      <c r="G3" s="33">
        <f>F3+1</f>
        <v>2005</v>
      </c>
      <c r="H3" s="33">
        <f aca="true" t="shared" si="0" ref="H3:N3">G3+1</f>
        <v>2006</v>
      </c>
      <c r="I3" s="33">
        <f t="shared" si="0"/>
        <v>2007</v>
      </c>
      <c r="J3" s="33">
        <f t="shared" si="0"/>
        <v>2008</v>
      </c>
      <c r="K3" s="33">
        <f t="shared" si="0"/>
        <v>2009</v>
      </c>
      <c r="L3" s="33">
        <f t="shared" si="0"/>
        <v>2010</v>
      </c>
      <c r="M3" s="33">
        <f t="shared" si="0"/>
        <v>2011</v>
      </c>
      <c r="N3" s="33">
        <f t="shared" si="0"/>
        <v>2012</v>
      </c>
      <c r="O3" s="34">
        <v>2013</v>
      </c>
      <c r="P3" s="32" t="s">
        <v>10</v>
      </c>
      <c r="Q3" s="32" t="s">
        <v>13</v>
      </c>
    </row>
    <row r="4" spans="1:17" s="19" customFormat="1" ht="11.25">
      <c r="A4" s="20" t="s">
        <v>3</v>
      </c>
      <c r="B4" s="35" t="s">
        <v>1</v>
      </c>
      <c r="C4" s="21"/>
      <c r="D4" s="36">
        <v>-30000.300506052245</v>
      </c>
      <c r="E4" s="36">
        <v>0.15198196506753447</v>
      </c>
      <c r="F4" s="36">
        <v>-0.08368887725828245</v>
      </c>
      <c r="G4" s="36">
        <v>0.0022640866573055973</v>
      </c>
      <c r="H4" s="36">
        <v>0.012349563834504806</v>
      </c>
      <c r="I4" s="36">
        <v>0.023217179787934583</v>
      </c>
      <c r="J4" s="36">
        <v>5631.0332995285235</v>
      </c>
      <c r="K4" s="36">
        <v>6400.6458334299805</v>
      </c>
      <c r="L4" s="36">
        <v>7184.412367732228</v>
      </c>
      <c r="M4" s="36">
        <v>7962.830361807333</v>
      </c>
      <c r="N4" s="36">
        <v>20500.74241526013</v>
      </c>
      <c r="O4" s="36">
        <v>20671.326154791757</v>
      </c>
      <c r="P4" s="37">
        <v>0.01</v>
      </c>
      <c r="Q4" s="22">
        <f>O4*1.01/(O8-0.01)</f>
        <v>208780.39416339673</v>
      </c>
    </row>
    <row r="5" spans="1:17" s="19" customFormat="1" ht="11.25">
      <c r="A5" s="38" t="s">
        <v>4</v>
      </c>
      <c r="B5" s="26" t="s">
        <v>1</v>
      </c>
      <c r="C5" s="23"/>
      <c r="D5" s="27">
        <v>-30000.300506052245</v>
      </c>
      <c r="E5" s="27">
        <v>0.15198196506753447</v>
      </c>
      <c r="F5" s="27">
        <v>-0.08368887725828245</v>
      </c>
      <c r="G5" s="27">
        <v>0.0022640866573055973</v>
      </c>
      <c r="H5" s="27">
        <v>0.012349563834504806</v>
      </c>
      <c r="I5" s="27">
        <v>0.023217179787934583</v>
      </c>
      <c r="J5" s="27">
        <v>5631.0332995285235</v>
      </c>
      <c r="K5" s="27">
        <v>6400.6458334299805</v>
      </c>
      <c r="L5" s="27">
        <v>7184.412367732228</v>
      </c>
      <c r="M5" s="27">
        <v>7962.830361807333</v>
      </c>
      <c r="N5" s="27">
        <v>20500.74241526013</v>
      </c>
      <c r="O5" s="27">
        <v>20466.65955919976</v>
      </c>
      <c r="P5" s="28">
        <v>0.025</v>
      </c>
      <c r="Q5" s="39">
        <f>O5*1.025/(O9-0.025)</f>
        <v>322743.4776643039</v>
      </c>
    </row>
    <row r="6" spans="1:17" s="19" customFormat="1" ht="11.25">
      <c r="A6" s="40" t="s">
        <v>5</v>
      </c>
      <c r="B6" s="41" t="s">
        <v>1</v>
      </c>
      <c r="C6" s="42"/>
      <c r="D6" s="43">
        <v>-30000.300506052245</v>
      </c>
      <c r="E6" s="43">
        <v>0.15198196506753447</v>
      </c>
      <c r="F6" s="43">
        <v>-0.08368887725828245</v>
      </c>
      <c r="G6" s="43">
        <v>0.0022640866573055973</v>
      </c>
      <c r="H6" s="43">
        <v>0.012349563834504806</v>
      </c>
      <c r="I6" s="43">
        <v>0.023217179787934583</v>
      </c>
      <c r="J6" s="43">
        <v>5631.0332995285235</v>
      </c>
      <c r="K6" s="43">
        <v>6400.6458334299805</v>
      </c>
      <c r="L6" s="43">
        <v>7184.412367732228</v>
      </c>
      <c r="M6" s="43">
        <v>7962.830361807333</v>
      </c>
      <c r="N6" s="43">
        <v>20500.74241526013</v>
      </c>
      <c r="O6" s="43">
        <v>20705.749839412732</v>
      </c>
      <c r="P6" s="44">
        <v>0.01</v>
      </c>
      <c r="Q6" s="45">
        <f>O6*1.01/(O10-0.01)</f>
        <v>336380.47608990385</v>
      </c>
    </row>
    <row r="7" spans="1:17" s="1" customFormat="1" ht="12.75">
      <c r="A7" s="7"/>
      <c r="B7" s="16"/>
      <c r="C7" s="16"/>
      <c r="D7" s="13"/>
      <c r="E7" s="13"/>
      <c r="F7" s="13"/>
      <c r="G7" s="13"/>
      <c r="H7" s="13"/>
      <c r="I7" s="13"/>
      <c r="J7" s="13"/>
      <c r="K7" s="8"/>
      <c r="L7" s="16"/>
      <c r="M7" s="16"/>
      <c r="N7" s="16"/>
      <c r="O7" s="16"/>
      <c r="P7" s="16"/>
      <c r="Q7" s="7"/>
    </row>
    <row r="8" spans="1:17" s="1" customFormat="1" ht="12.75">
      <c r="A8" s="25" t="s">
        <v>3</v>
      </c>
      <c r="B8" s="47" t="s">
        <v>6</v>
      </c>
      <c r="C8" s="47"/>
      <c r="D8" s="48">
        <v>0.11</v>
      </c>
      <c r="E8" s="48">
        <v>0.11</v>
      </c>
      <c r="F8" s="48">
        <v>0.11</v>
      </c>
      <c r="G8" s="48">
        <v>0.11</v>
      </c>
      <c r="H8" s="48">
        <v>0.11</v>
      </c>
      <c r="I8" s="48">
        <v>0.11</v>
      </c>
      <c r="J8" s="48">
        <v>0.11</v>
      </c>
      <c r="K8" s="48">
        <v>0.11</v>
      </c>
      <c r="L8" s="48">
        <v>0.11</v>
      </c>
      <c r="M8" s="48">
        <v>0.11</v>
      </c>
      <c r="N8" s="48">
        <v>0.11</v>
      </c>
      <c r="O8" s="49">
        <v>0.11</v>
      </c>
      <c r="P8" s="16"/>
      <c r="Q8" s="7"/>
    </row>
    <row r="9" spans="1:17" s="1" customFormat="1" ht="12.75">
      <c r="A9" s="50" t="s">
        <v>4</v>
      </c>
      <c r="B9" s="8" t="s">
        <v>6</v>
      </c>
      <c r="C9" s="8"/>
      <c r="D9" s="18">
        <v>0.09</v>
      </c>
      <c r="E9" s="18">
        <v>0.09</v>
      </c>
      <c r="F9" s="18">
        <v>0.09</v>
      </c>
      <c r="G9" s="18">
        <v>0.09</v>
      </c>
      <c r="H9" s="18">
        <v>0.09</v>
      </c>
      <c r="I9" s="18">
        <v>0.09</v>
      </c>
      <c r="J9" s="18">
        <v>0.09</v>
      </c>
      <c r="K9" s="18">
        <v>0.09</v>
      </c>
      <c r="L9" s="18">
        <v>0.09</v>
      </c>
      <c r="M9" s="18">
        <v>0.09</v>
      </c>
      <c r="N9" s="18">
        <v>0.09</v>
      </c>
      <c r="O9" s="51">
        <v>0.09</v>
      </c>
      <c r="P9" s="16"/>
      <c r="Q9" s="7"/>
    </row>
    <row r="10" spans="1:17" s="1" customFormat="1" ht="12.75">
      <c r="A10" s="52" t="s">
        <v>5</v>
      </c>
      <c r="B10" s="53" t="s">
        <v>6</v>
      </c>
      <c r="C10" s="53"/>
      <c r="D10" s="46">
        <v>0.0704320984838586</v>
      </c>
      <c r="E10" s="46">
        <v>0.06911350613808073</v>
      </c>
      <c r="F10" s="46">
        <v>0.07259794939986146</v>
      </c>
      <c r="G10" s="46">
        <v>0.07345927499898125</v>
      </c>
      <c r="H10" s="46">
        <v>0.07368210262539884</v>
      </c>
      <c r="I10" s="46">
        <v>0.07549158616529167</v>
      </c>
      <c r="J10" s="46">
        <v>0.07670136838275211</v>
      </c>
      <c r="K10" s="46">
        <v>0.07541893966934302</v>
      </c>
      <c r="L10" s="46">
        <v>0.07426450497090227</v>
      </c>
      <c r="M10" s="46">
        <v>0.07322035459578179</v>
      </c>
      <c r="N10" s="46">
        <v>0.07227125432020881</v>
      </c>
      <c r="O10" s="54">
        <v>0.07217009851730374</v>
      </c>
      <c r="P10" s="16"/>
      <c r="Q10" s="7"/>
    </row>
    <row r="11" spans="1:17" s="1" customFormat="1" ht="12.75">
      <c r="A11" s="7"/>
      <c r="B11" s="16"/>
      <c r="C11" s="16"/>
      <c r="D11" s="24">
        <f>(1+D10)</f>
        <v>1.0704320984838587</v>
      </c>
      <c r="E11" s="24">
        <f aca="true" t="shared" si="1" ref="E11:O11">(1+E10)*D11</f>
        <v>1.1444134138928215</v>
      </c>
      <c r="F11" s="24">
        <f t="shared" si="1"/>
        <v>1.2274954810071352</v>
      </c>
      <c r="G11" s="24">
        <f t="shared" si="1"/>
        <v>1.3176664091064452</v>
      </c>
      <c r="H11" s="24">
        <f t="shared" si="1"/>
        <v>1.414754840688267</v>
      </c>
      <c r="I11" s="24">
        <f t="shared" si="1"/>
        <v>1.5215569276468488</v>
      </c>
      <c r="J11" s="24">
        <f t="shared" si="1"/>
        <v>1.6382624260696184</v>
      </c>
      <c r="K11" s="24">
        <f t="shared" si="1"/>
        <v>1.7618184411439144</v>
      </c>
      <c r="L11" s="24">
        <f t="shared" si="1"/>
        <v>1.892659015524074</v>
      </c>
      <c r="M11" s="24">
        <f t="shared" si="1"/>
        <v>2.0312401797696498</v>
      </c>
      <c r="N11" s="24">
        <f t="shared" si="1"/>
        <v>2.178040455387209</v>
      </c>
      <c r="O11" s="24">
        <f t="shared" si="1"/>
        <v>2.335229849627177</v>
      </c>
      <c r="P11" s="16"/>
      <c r="Q11" s="7"/>
    </row>
    <row r="12" spans="1:17" s="1" customFormat="1" ht="13.5" thickBot="1">
      <c r="A12" s="7"/>
      <c r="B12" s="16"/>
      <c r="C12" s="16"/>
      <c r="D12" s="13"/>
      <c r="E12" s="13"/>
      <c r="F12" s="13"/>
      <c r="G12" s="13"/>
      <c r="H12" s="13"/>
      <c r="I12" s="13"/>
      <c r="J12" s="13"/>
      <c r="K12" s="8"/>
      <c r="L12" s="16"/>
      <c r="M12" s="16"/>
      <c r="N12" s="16"/>
      <c r="O12" s="16"/>
      <c r="P12" s="29" t="s">
        <v>8</v>
      </c>
      <c r="Q12" s="7"/>
    </row>
    <row r="13" spans="1:17" s="1" customFormat="1" ht="12.75">
      <c r="A13" s="55" t="s">
        <v>3</v>
      </c>
      <c r="B13" s="12" t="s">
        <v>7</v>
      </c>
      <c r="C13" s="12"/>
      <c r="D13" s="17">
        <f>D4/(1+D8)^(D$3-2001)</f>
        <v>-27027.29775320022</v>
      </c>
      <c r="E13" s="17">
        <f aca="true" t="shared" si="2" ref="E13:N13">E4/(1+E8)^(E$3-2001)</f>
        <v>0.12335197229732525</v>
      </c>
      <c r="F13" s="17">
        <f t="shared" si="2"/>
        <v>-0.06119258576200922</v>
      </c>
      <c r="G13" s="17">
        <f t="shared" si="2"/>
        <v>0.0014914240093156133</v>
      </c>
      <c r="H13" s="17">
        <f t="shared" si="2"/>
        <v>0.007328865058530823</v>
      </c>
      <c r="I13" s="17">
        <f t="shared" si="2"/>
        <v>0.012412852413445138</v>
      </c>
      <c r="J13" s="17">
        <f t="shared" si="2"/>
        <v>2712.234550724105</v>
      </c>
      <c r="K13" s="17">
        <f t="shared" si="2"/>
        <v>2777.4098205447967</v>
      </c>
      <c r="L13" s="17">
        <f t="shared" si="2"/>
        <v>2808.5647627839758</v>
      </c>
      <c r="M13" s="17">
        <f t="shared" si="2"/>
        <v>2804.3852605426155</v>
      </c>
      <c r="N13" s="17">
        <f t="shared" si="2"/>
        <v>6504.543497304499</v>
      </c>
      <c r="O13" s="17">
        <f>(O4+Q4)/(1+O8)^(O$3-2001)</f>
        <v>65586.66871533639</v>
      </c>
      <c r="P13" s="58">
        <f>SUM(D13:O13)</f>
        <v>56166.59224656418</v>
      </c>
      <c r="Q13" s="7"/>
    </row>
    <row r="14" spans="1:17" s="1" customFormat="1" ht="12.75">
      <c r="A14" s="56" t="s">
        <v>4</v>
      </c>
      <c r="B14" s="16" t="s">
        <v>7</v>
      </c>
      <c r="C14" s="16"/>
      <c r="D14" s="13">
        <f>D5/(1+D9)^(D$3-2001)</f>
        <v>-27523.211473442425</v>
      </c>
      <c r="E14" s="13">
        <f aca="true" t="shared" si="3" ref="E14:N14">E5/(1+E9)^(E$3-2001)</f>
        <v>0.12792017933468097</v>
      </c>
      <c r="F14" s="13">
        <f t="shared" si="3"/>
        <v>-0.0646231684837038</v>
      </c>
      <c r="G14" s="13">
        <f t="shared" si="3"/>
        <v>0.0016039360680716128</v>
      </c>
      <c r="H14" s="13">
        <f t="shared" si="3"/>
        <v>0.008026369143139618</v>
      </c>
      <c r="I14" s="13">
        <f t="shared" si="3"/>
        <v>0.013843645729825913</v>
      </c>
      <c r="J14" s="13">
        <f t="shared" si="3"/>
        <v>3080.368048695159</v>
      </c>
      <c r="K14" s="13">
        <f t="shared" si="3"/>
        <v>3212.2683119265084</v>
      </c>
      <c r="L14" s="13">
        <f t="shared" si="3"/>
        <v>3307.9030336044</v>
      </c>
      <c r="M14" s="13">
        <f t="shared" si="3"/>
        <v>3363.5855983045262</v>
      </c>
      <c r="N14" s="13">
        <f t="shared" si="3"/>
        <v>7944.711142743768</v>
      </c>
      <c r="O14" s="13">
        <f>(O5+Q5)/(1+O9)^(O$3-2001)</f>
        <v>122023.12179055662</v>
      </c>
      <c r="P14" s="59">
        <f>SUM(D14:O14)</f>
        <v>115408.83322335035</v>
      </c>
      <c r="Q14" s="7"/>
    </row>
    <row r="15" spans="1:17" s="1" customFormat="1" ht="13.5" thickBot="1">
      <c r="A15" s="57" t="s">
        <v>5</v>
      </c>
      <c r="B15" s="14" t="s">
        <v>7</v>
      </c>
      <c r="C15" s="14"/>
      <c r="D15" s="15">
        <f>D6/D11</f>
        <v>-28026.34613493387</v>
      </c>
      <c r="E15" s="15">
        <f aca="true" t="shared" si="4" ref="E15:N15">E6/E11</f>
        <v>0.13280337614232834</v>
      </c>
      <c r="F15" s="15">
        <f t="shared" si="4"/>
        <v>-0.0681785624087328</v>
      </c>
      <c r="G15" s="15">
        <f t="shared" si="4"/>
        <v>0.001718254819018231</v>
      </c>
      <c r="H15" s="15">
        <f t="shared" si="4"/>
        <v>0.008729119335260122</v>
      </c>
      <c r="I15" s="15">
        <f t="shared" si="4"/>
        <v>0.01525883085021401</v>
      </c>
      <c r="J15" s="15">
        <f t="shared" si="4"/>
        <v>3437.1985891405848</v>
      </c>
      <c r="K15" s="15">
        <f t="shared" si="4"/>
        <v>3632.9769764892267</v>
      </c>
      <c r="L15" s="15">
        <f t="shared" si="4"/>
        <v>3795.935933944698</v>
      </c>
      <c r="M15" s="15">
        <f t="shared" si="4"/>
        <v>3920.1815920706867</v>
      </c>
      <c r="N15" s="15">
        <f t="shared" si="4"/>
        <v>9412.470904547794</v>
      </c>
      <c r="O15" s="15">
        <f>(O6+Q6)/O11</f>
        <v>152912.66767009077</v>
      </c>
      <c r="P15" s="60">
        <f>SUM(D15:O15)</f>
        <v>149085.17586236863</v>
      </c>
      <c r="Q15" s="7"/>
    </row>
    <row r="16" spans="2:18" ht="12.75">
      <c r="B16" s="3"/>
      <c r="O16" s="2"/>
      <c r="P16" s="2"/>
      <c r="Q16" s="2"/>
      <c r="R16" s="2"/>
    </row>
    <row r="17" spans="17:18" ht="12.75">
      <c r="Q17" s="2"/>
      <c r="R17" s="2"/>
    </row>
    <row r="18" ht="13.5" thickBot="1"/>
    <row r="19" spans="4:14" ht="13.5" thickBot="1">
      <c r="D19" s="71"/>
      <c r="E19" s="62"/>
      <c r="F19" s="47"/>
      <c r="G19" s="63" t="s">
        <v>14</v>
      </c>
      <c r="H19" s="63"/>
      <c r="I19" s="64"/>
      <c r="J19" s="61"/>
      <c r="K19" s="61"/>
      <c r="L19" s="72"/>
      <c r="M19" s="73" t="s">
        <v>15</v>
      </c>
      <c r="N19" s="74"/>
    </row>
    <row r="20" spans="1:14" ht="12.75">
      <c r="A20" s="55" t="s">
        <v>3</v>
      </c>
      <c r="B20" s="12" t="s">
        <v>7</v>
      </c>
      <c r="C20" s="12"/>
      <c r="D20" s="5">
        <f>P13</f>
        <v>56166.59224656418</v>
      </c>
      <c r="E20" s="65"/>
      <c r="F20" s="8"/>
      <c r="G20" s="66">
        <v>6000</v>
      </c>
      <c r="H20" s="8"/>
      <c r="I20" s="67"/>
      <c r="L20" s="75"/>
      <c r="M20" s="76">
        <f>D20-G20</f>
        <v>50166.59224656418</v>
      </c>
      <c r="N20" s="77"/>
    </row>
    <row r="21" spans="1:14" ht="12.75">
      <c r="A21" s="56" t="s">
        <v>4</v>
      </c>
      <c r="B21" s="16" t="s">
        <v>7</v>
      </c>
      <c r="C21" s="16"/>
      <c r="D21" s="5">
        <f>P14</f>
        <v>115408.83322335035</v>
      </c>
      <c r="E21" s="65"/>
      <c r="F21" s="8"/>
      <c r="G21" s="66">
        <v>0</v>
      </c>
      <c r="H21" s="8"/>
      <c r="I21" s="67"/>
      <c r="L21" s="75"/>
      <c r="M21" s="76">
        <f>D21-G21</f>
        <v>115408.83322335035</v>
      </c>
      <c r="N21" s="77"/>
    </row>
    <row r="22" spans="1:14" ht="13.5" thickBot="1">
      <c r="A22" s="57" t="s">
        <v>5</v>
      </c>
      <c r="B22" s="14" t="s">
        <v>7</v>
      </c>
      <c r="C22" s="14"/>
      <c r="D22" s="6">
        <f>P15</f>
        <v>149085.17586236863</v>
      </c>
      <c r="E22" s="68"/>
      <c r="F22" s="53"/>
      <c r="G22" s="69">
        <v>6000</v>
      </c>
      <c r="H22" s="53"/>
      <c r="I22" s="70"/>
      <c r="L22" s="78"/>
      <c r="M22" s="79">
        <f>D22-G22</f>
        <v>143085.17586236863</v>
      </c>
      <c r="N22" s="80"/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cp:lastPrinted>2002-09-12T15:46:42Z</cp:lastPrinted>
  <dcterms:created xsi:type="dcterms:W3CDTF">2001-12-06T10:07:35Z</dcterms:created>
  <dcterms:modified xsi:type="dcterms:W3CDTF">2004-03-25T18:22:05Z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-967292129</vt:i4>
  </property>
  <property fmtid="{D5CDD505-2E9C-101B-9397-08002B2CF9AE}" pid="3" name="_EmailSubject">
    <vt:lpwstr/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