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5480" windowHeight="10380" activeTab="0"/>
  </bookViews>
  <sheets>
    <sheet name="Incongruencia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<sst xmlns="http://schemas.openxmlformats.org/spreadsheetml/2006/main" count="28" uniqueCount="26">
  <si>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FCF</t>
  </si>
  <si>
    <t>Ke</t>
  </si>
  <si>
    <t>WACC</t>
  </si>
  <si>
    <t>T</t>
  </si>
  <si>
    <t>2003-2008</t>
  </si>
  <si>
    <t>g</t>
  </si>
  <si>
    <t>Implicit Ke in a WACC of 10%</t>
  </si>
  <si>
    <t>E market</t>
  </si>
  <si>
    <t>WACC=</t>
  </si>
  <si>
    <t>D/(D+E)</t>
  </si>
  <si>
    <t>Equity value (E)</t>
  </si>
  <si>
    <t>Debt value (D)</t>
  </si>
  <si>
    <t>∆D =  ECF - FCF + Int (1-T)</t>
  </si>
  <si>
    <t>D</t>
  </si>
  <si>
    <t>Kd</t>
  </si>
  <si>
    <t>Intereses</t>
  </si>
  <si>
    <t>WACC using lines 4,5,6,8,10</t>
  </si>
  <si>
    <t>CFac</t>
  </si>
  <si>
    <t>E = VA(CFac; Ke)</t>
  </si>
  <si>
    <t xml:space="preserve">usando WACC </t>
  </si>
  <si>
    <t>Valor terminal</t>
  </si>
  <si>
    <t>Valor actual en 2002:</t>
  </si>
  <si>
    <t>Suma</t>
  </si>
  <si>
    <t>WACC utilizado en la valoración</t>
  </si>
  <si>
    <t xml:space="preserve">Menos deuda </t>
  </si>
  <si>
    <t>Valor de las acciones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</si>
</sst>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d/m/yy\ h:mm"/>
    <numFmt numFmtId="189" formatCode="0.000000"/>
    <numFmt numFmtId="190" formatCode="0.0000%"/>
    <numFmt numFmtId="191" formatCode="0.0000"/>
    <numFmt numFmtId="192" formatCode="0.0000000"/>
    <numFmt numFmtId="193" formatCode="0.000%"/>
    <numFmt numFmtId="194" formatCode="#,##0.0"/>
    <numFmt numFmtId="195" formatCode="0.0%"/>
    <numFmt numFmtId="196" formatCode="#,##0.0&quot;Pts&quot;;[Red]\-#,##0.0&quot;Pts&quot;"/>
    <numFmt numFmtId="197" formatCode="0.000"/>
    <numFmt numFmtId="198" formatCode="#,##0.000"/>
    <numFmt numFmtId="199" formatCode="#,##0.0000"/>
    <numFmt numFmtId="200" formatCode="0.0"/>
    <numFmt numFmtId="201" formatCode="#,##0.00000000000"/>
    <numFmt numFmtId="202" formatCode="#,##0.0000000000"/>
    <numFmt numFmtId="203" formatCode="#,##0.000000000"/>
    <numFmt numFmtId="204" formatCode="0.000000%"/>
    <numFmt numFmtId="205" formatCode="#,##0.00000"/>
    <numFmt numFmtId="206" formatCode="0.00000"/>
    <numFmt numFmtId="207" formatCode="0.0000000000000"/>
    <numFmt numFmtId="208" formatCode="0.000000000000"/>
    <numFmt numFmtId="209" formatCode="0.00000000000"/>
    <numFmt numFmtId="210" formatCode="0.0000000000"/>
    <numFmt numFmtId="211" formatCode="0.000000000"/>
    <numFmt numFmtId="212" formatCode="0.00000000"/>
    <numFmt numFmtId="213" formatCode="0.000000000000000%"/>
    <numFmt numFmtId="214" formatCode="0.00000000000000%"/>
    <numFmt numFmtId="215" formatCode="0.0000000000000%"/>
    <numFmt numFmtId="216" formatCode="0.000000000000%"/>
    <numFmt numFmtId="217" formatCode="0.00000000000%"/>
    <numFmt numFmtId="218" formatCode="0.0000000000%"/>
    <numFmt numFmtId="219" formatCode="0.000000000%"/>
    <numFmt numFmtId="220" formatCode="0.00000000%"/>
    <numFmt numFmtId="221" formatCode="0.0000000%"/>
    <numFmt numFmtId="222" formatCode="0.00000%"/>
    <numFmt numFmtId="223" formatCode="#,##0.000000000000"/>
    <numFmt numFmtId="224" formatCode="0.00_ ;[Red]\-0.00\ "/>
  </numFmts>
  <fonts count="9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9"/>
      <name val="Tms Rmn"/>
      <family val="0"/>
    </font>
    <font>
      <sz val="8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10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10" fontId="0" fillId="0" borderId="0" xfId="19" applyNumberFormat="1" applyFont="1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9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95" fontId="0" fillId="0" borderId="1" xfId="19" applyNumberFormat="1" applyFont="1" applyBorder="1" applyAlignment="1">
      <alignment horizontal="right"/>
    </xf>
    <xf numFmtId="10" fontId="0" fillId="0" borderId="1" xfId="19" applyNumberFormat="1" applyFont="1" applyBorder="1" applyAlignment="1">
      <alignment/>
    </xf>
    <xf numFmtId="1" fontId="0" fillId="0" borderId="1" xfId="19" applyNumberFormat="1" applyFont="1" applyBorder="1" applyAlignment="1">
      <alignment/>
    </xf>
    <xf numFmtId="0" fontId="0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95" fontId="0" fillId="0" borderId="1" xfId="19" applyNumberFormat="1" applyFont="1" applyBorder="1" applyAlignment="1">
      <alignment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0" fontId="0" fillId="0" borderId="1" xfId="19" applyNumberFormat="1" applyFont="1" applyBorder="1" applyAlignment="1">
      <alignment horizontal="left"/>
    </xf>
    <xf numFmtId="10" fontId="0" fillId="0" borderId="0" xfId="19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94" fontId="0" fillId="0" borderId="0" xfId="0" applyNumberFormat="1" applyBorder="1" applyAlignment="1">
      <alignment/>
    </xf>
    <xf numFmtId="9" fontId="0" fillId="0" borderId="0" xfId="19" applyFont="1" applyBorder="1" applyAlignment="1">
      <alignment horizontal="right"/>
    </xf>
    <xf numFmtId="194" fontId="0" fillId="0" borderId="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195" fontId="0" fillId="0" borderId="1" xfId="0" applyNumberFormat="1" applyBorder="1" applyAlignment="1">
      <alignment/>
    </xf>
    <xf numFmtId="10" fontId="0" fillId="0" borderId="0" xfId="19" applyNumberFormat="1" applyFont="1" applyBorder="1" applyAlignment="1">
      <alignment horizontal="right"/>
    </xf>
    <xf numFmtId="224" fontId="0" fillId="0" borderId="0" xfId="0" applyNumberFormat="1" applyBorder="1" applyAlignment="1">
      <alignment/>
    </xf>
    <xf numFmtId="194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G12" sqref="G12"/>
    </sheetView>
  </sheetViews>
  <sheetFormatPr defaultColWidth="9.00390625" defaultRowHeight="12"/>
  <cols>
    <col min="1" max="1" width="11.25390625" style="0" customWidth="1"/>
    <col min="2" max="2" width="7.375" style="11" customWidth="1"/>
    <col min="3" max="3" width="30.25390625" style="0" customWidth="1"/>
    <col min="5" max="5" width="7.375" style="0" customWidth="1"/>
    <col min="6" max="6" width="9.00390625" style="0" customWidth="1"/>
    <col min="7" max="8" width="7.375" style="0" customWidth="1"/>
    <col min="9" max="9" width="8.75390625" style="0" customWidth="1"/>
    <col min="10" max="10" width="7.375" style="0" customWidth="1"/>
    <col min="11" max="12" width="8.00390625" style="0" customWidth="1"/>
    <col min="13" max="16384" width="15.375" style="0" customWidth="1"/>
  </cols>
  <sheetData>
    <row r="1" spans="2:13" ht="10.5">
      <c r="B1" s="12"/>
      <c r="C1" s="13"/>
      <c r="D1" s="13"/>
      <c r="E1" s="13"/>
      <c r="F1" s="13"/>
      <c r="G1" s="13"/>
      <c r="H1" s="13"/>
      <c r="I1" s="13"/>
      <c r="J1" s="13"/>
      <c r="K1" s="2"/>
      <c r="L1" s="2"/>
      <c r="M1" s="2"/>
    </row>
    <row r="2" spans="2:13" s="1" customFormat="1" ht="10.5">
      <c r="B2" s="10"/>
      <c r="C2" s="27"/>
      <c r="D2" s="28">
        <v>2003</v>
      </c>
      <c r="E2" s="28">
        <f aca="true" t="shared" si="0" ref="E2:K2">D2+1</f>
        <v>2004</v>
      </c>
      <c r="F2" s="28">
        <f t="shared" si="0"/>
        <v>2005</v>
      </c>
      <c r="G2" s="28">
        <f t="shared" si="0"/>
        <v>2006</v>
      </c>
      <c r="H2" s="28">
        <f t="shared" si="0"/>
        <v>2007</v>
      </c>
      <c r="I2" s="28">
        <f t="shared" si="0"/>
        <v>2008</v>
      </c>
      <c r="J2" s="28">
        <f t="shared" si="0"/>
        <v>2009</v>
      </c>
      <c r="K2" s="28">
        <f t="shared" si="0"/>
        <v>2010</v>
      </c>
      <c r="L2" s="8"/>
      <c r="M2" s="8"/>
    </row>
    <row r="3" spans="2:14" ht="10.5">
      <c r="B3" s="12"/>
      <c r="C3" s="18" t="s">
        <v>0</v>
      </c>
      <c r="D3" s="21">
        <f aca="true" t="shared" si="1" ref="D3:N3">E16</f>
        <v>-290</v>
      </c>
      <c r="E3" s="21">
        <f t="shared" si="1"/>
        <v>-102</v>
      </c>
      <c r="F3" s="21">
        <f t="shared" si="1"/>
        <v>250</v>
      </c>
      <c r="G3" s="21">
        <f t="shared" si="1"/>
        <v>354</v>
      </c>
      <c r="H3" s="21">
        <f t="shared" si="1"/>
        <v>459</v>
      </c>
      <c r="I3" s="21">
        <f t="shared" si="1"/>
        <v>496</v>
      </c>
      <c r="J3" s="21">
        <f t="shared" si="1"/>
        <v>505.92</v>
      </c>
      <c r="K3" s="21">
        <f t="shared" si="1"/>
        <v>516.0384</v>
      </c>
      <c r="L3" s="21">
        <f t="shared" si="1"/>
        <v>526.3591680000001</v>
      </c>
      <c r="M3" s="21">
        <f t="shared" si="1"/>
        <v>536.88635136</v>
      </c>
      <c r="N3" s="21">
        <f t="shared" si="1"/>
        <v>547.6240783872</v>
      </c>
    </row>
    <row r="4" spans="1:13" ht="10.5">
      <c r="A4" s="15" t="s">
        <v>2</v>
      </c>
      <c r="B4" s="16">
        <v>0.1</v>
      </c>
      <c r="C4" s="19" t="s">
        <v>20</v>
      </c>
      <c r="D4" s="20"/>
      <c r="E4" s="20"/>
      <c r="F4" s="20"/>
      <c r="G4" s="20"/>
      <c r="H4" s="20"/>
      <c r="I4" s="42">
        <f>I3*(1+B5)/(B4-B5)</f>
        <v>6324</v>
      </c>
      <c r="K4" s="2"/>
      <c r="L4" s="2"/>
      <c r="M4" s="2"/>
    </row>
    <row r="5" spans="1:13" ht="10.5">
      <c r="A5" s="15" t="s">
        <v>5</v>
      </c>
      <c r="B5" s="17">
        <v>0.02</v>
      </c>
      <c r="C5" s="13"/>
      <c r="D5" s="13"/>
      <c r="E5" s="13"/>
      <c r="F5" s="13"/>
      <c r="G5" s="13"/>
      <c r="H5" s="13"/>
      <c r="I5" s="13"/>
      <c r="J5" s="13"/>
      <c r="K5" s="2"/>
      <c r="L5" s="2"/>
      <c r="M5" s="2"/>
    </row>
    <row r="6" spans="2:10" s="6" customFormat="1" ht="10.5">
      <c r="B6" s="12"/>
      <c r="C6" s="13"/>
      <c r="D6" s="13" t="s">
        <v>19</v>
      </c>
      <c r="E6" s="13"/>
      <c r="F6" s="13"/>
      <c r="G6" s="13"/>
      <c r="H6" s="13"/>
      <c r="I6" s="13"/>
      <c r="J6" s="13"/>
    </row>
    <row r="7" spans="2:10" ht="10.5">
      <c r="B7" s="12"/>
      <c r="C7" s="13" t="s">
        <v>21</v>
      </c>
      <c r="D7" s="40">
        <f>B4</f>
        <v>0.1</v>
      </c>
      <c r="E7" s="13"/>
      <c r="F7" s="13"/>
      <c r="G7" s="13"/>
      <c r="H7" s="13"/>
      <c r="I7" s="13" t="s">
        <v>7</v>
      </c>
      <c r="J7" s="30">
        <v>1490</v>
      </c>
    </row>
    <row r="8" spans="2:10" s="6" customFormat="1" ht="10.5">
      <c r="B8" s="12"/>
      <c r="C8" s="13" t="s">
        <v>4</v>
      </c>
      <c r="D8" s="29">
        <f>NPV(B4,D3:I3)</f>
        <v>646.6635357179342</v>
      </c>
      <c r="E8" s="13"/>
      <c r="F8" s="13"/>
      <c r="G8" s="13"/>
      <c r="H8" s="13"/>
      <c r="I8" s="13" t="s">
        <v>13</v>
      </c>
      <c r="J8" s="29">
        <f>D26</f>
        <v>1184</v>
      </c>
    </row>
    <row r="9" spans="2:10" ht="10.5">
      <c r="B9" s="12"/>
      <c r="C9" s="13" t="s">
        <v>20</v>
      </c>
      <c r="D9" s="29">
        <f>I4/(1+B$4)^6</f>
        <v>3569.733133660087</v>
      </c>
      <c r="E9" s="13"/>
      <c r="F9" s="13"/>
      <c r="G9" s="13"/>
      <c r="H9" s="13"/>
      <c r="I9" s="13"/>
      <c r="J9" s="13"/>
    </row>
    <row r="10" spans="2:10" ht="10.5">
      <c r="B10" s="12"/>
      <c r="C10" s="5" t="s">
        <v>22</v>
      </c>
      <c r="D10" s="39">
        <f>SUM(D8:D9)</f>
        <v>4216.396669378021</v>
      </c>
      <c r="E10" s="13"/>
      <c r="F10" s="13"/>
      <c r="G10" s="13"/>
      <c r="H10" s="13"/>
      <c r="I10" s="13" t="s">
        <v>8</v>
      </c>
      <c r="J10" s="44">
        <f>(J7/(J8+J7))*E20+(J8/(J8+J7))*E21*0.65</f>
        <v>0.10001271503365744</v>
      </c>
    </row>
    <row r="11" spans="2:10" ht="10.5">
      <c r="B11" s="12"/>
      <c r="C11" s="13" t="s">
        <v>24</v>
      </c>
      <c r="D11" s="29">
        <f>-D26</f>
        <v>-1184</v>
      </c>
      <c r="E11" s="13"/>
      <c r="F11" s="13"/>
      <c r="G11" s="13"/>
      <c r="H11" s="13"/>
      <c r="I11" s="13"/>
      <c r="J11" s="13"/>
    </row>
    <row r="12" spans="2:10" ht="10.5">
      <c r="B12" s="12"/>
      <c r="C12" s="5" t="s">
        <v>25</v>
      </c>
      <c r="D12" s="46">
        <f>D10+D11</f>
        <v>3032.396669378021</v>
      </c>
      <c r="E12" s="4"/>
      <c r="F12" s="13"/>
      <c r="G12" s="4"/>
      <c r="H12" s="4"/>
      <c r="I12" s="4"/>
      <c r="J12" s="4"/>
    </row>
    <row r="13" spans="2:10" ht="10.5">
      <c r="B13" s="12"/>
      <c r="C13" s="3"/>
      <c r="D13" s="7"/>
      <c r="E13" s="7"/>
      <c r="F13" s="13"/>
      <c r="G13" s="7"/>
      <c r="H13" s="7"/>
      <c r="I13" s="7"/>
      <c r="J13" s="7"/>
    </row>
    <row r="14" spans="2:10" ht="10.5">
      <c r="B14" s="12"/>
      <c r="C14" s="13"/>
      <c r="D14" s="13"/>
      <c r="E14" s="13"/>
      <c r="F14" s="13"/>
      <c r="G14" s="13"/>
      <c r="H14" s="13"/>
      <c r="I14" s="13"/>
      <c r="J14" s="13"/>
    </row>
    <row r="15" spans="2:15" s="1" customFormat="1" ht="10.5">
      <c r="B15" s="10"/>
      <c r="C15" s="27"/>
      <c r="D15" s="28">
        <v>2002</v>
      </c>
      <c r="E15" s="28">
        <v>2003</v>
      </c>
      <c r="F15" s="28">
        <f aca="true" t="shared" si="2" ref="F15:O15">E15+1</f>
        <v>2004</v>
      </c>
      <c r="G15" s="28">
        <f t="shared" si="2"/>
        <v>2005</v>
      </c>
      <c r="H15" s="28">
        <f t="shared" si="2"/>
        <v>2006</v>
      </c>
      <c r="I15" s="28">
        <f t="shared" si="2"/>
        <v>2007</v>
      </c>
      <c r="J15" s="28">
        <f t="shared" si="2"/>
        <v>2008</v>
      </c>
      <c r="K15" s="28">
        <f t="shared" si="2"/>
        <v>2009</v>
      </c>
      <c r="L15" s="28">
        <f t="shared" si="2"/>
        <v>2010</v>
      </c>
      <c r="M15" s="28">
        <f t="shared" si="2"/>
        <v>2011</v>
      </c>
      <c r="N15" s="28">
        <f t="shared" si="2"/>
        <v>2012</v>
      </c>
      <c r="O15" s="28">
        <f t="shared" si="2"/>
        <v>2013</v>
      </c>
    </row>
    <row r="16" spans="2:15" ht="10.5">
      <c r="B16" s="37">
        <v>1</v>
      </c>
      <c r="C16" s="32" t="s">
        <v>0</v>
      </c>
      <c r="D16" s="18"/>
      <c r="E16" s="21">
        <v>-290</v>
      </c>
      <c r="F16" s="21">
        <v>-102</v>
      </c>
      <c r="G16" s="21">
        <v>250</v>
      </c>
      <c r="H16" s="21">
        <v>354</v>
      </c>
      <c r="I16" s="21">
        <v>459</v>
      </c>
      <c r="J16" s="21">
        <v>496</v>
      </c>
      <c r="K16" s="21">
        <f>J16*1.02</f>
        <v>505.92</v>
      </c>
      <c r="L16" s="21">
        <f>K16*1.02</f>
        <v>516.0384</v>
      </c>
      <c r="M16" s="21">
        <f>L16*1.02</f>
        <v>526.3591680000001</v>
      </c>
      <c r="N16" s="21">
        <f>M16*1.02</f>
        <v>536.88635136</v>
      </c>
      <c r="O16" s="21">
        <f>N16*1.02</f>
        <v>547.6240783872</v>
      </c>
    </row>
    <row r="17" spans="2:15" ht="10.5">
      <c r="B17" s="37">
        <v>2</v>
      </c>
      <c r="C17" s="32" t="s">
        <v>17</v>
      </c>
      <c r="D17" s="18"/>
      <c r="E17" s="21">
        <v>0</v>
      </c>
      <c r="F17" s="21">
        <v>0</v>
      </c>
      <c r="G17" s="21">
        <v>0</v>
      </c>
      <c r="H17" s="21">
        <v>0</v>
      </c>
      <c r="I17" s="21">
        <f>J17/1.02</f>
        <v>34.31372549019608</v>
      </c>
      <c r="J17" s="21">
        <v>35</v>
      </c>
      <c r="K17" s="18">
        <f>K16-K18*(1-K19)+J26*0.02</f>
        <v>473.1779988200902</v>
      </c>
      <c r="L17" s="18">
        <f>L16-L18*(1-L19)+K26*0.02</f>
        <v>482.641558796492</v>
      </c>
      <c r="M17" s="18">
        <f>M16-M18*(1-M19)+L26*0.02</f>
        <v>492.29438997242187</v>
      </c>
      <c r="N17" s="18">
        <f>N16-N18*(1-N19)+M26*0.02</f>
        <v>502.1402777718703</v>
      </c>
      <c r="O17" s="18">
        <f>O16-O18*(1-O19)+N26*0.02</f>
        <v>512.1830833273076</v>
      </c>
    </row>
    <row r="18" spans="2:15" ht="10.5">
      <c r="B18" s="37">
        <v>3</v>
      </c>
      <c r="C18" s="33" t="s">
        <v>15</v>
      </c>
      <c r="D18" s="26"/>
      <c r="E18" s="36">
        <f>D26*E21</f>
        <v>106.56</v>
      </c>
      <c r="F18" s="36">
        <f aca="true" t="shared" si="3" ref="F18:L18">E26*F21</f>
        <v>142.25039999999998</v>
      </c>
      <c r="G18" s="36">
        <f t="shared" si="3"/>
        <v>164.23293599999997</v>
      </c>
      <c r="H18" s="36">
        <f t="shared" si="3"/>
        <v>156.51390023999997</v>
      </c>
      <c r="I18" s="36">
        <f t="shared" si="3"/>
        <v>138.74015126159995</v>
      </c>
      <c r="J18" s="36">
        <f t="shared" si="3"/>
        <v>111.50660653563631</v>
      </c>
      <c r="K18" s="36">
        <f t="shared" si="3"/>
        <v>76.53974301797103</v>
      </c>
      <c r="L18" s="36">
        <f t="shared" si="3"/>
        <v>78.07053787833046</v>
      </c>
      <c r="M18" s="36">
        <f>L26*M21</f>
        <v>79.63194863589707</v>
      </c>
      <c r="N18" s="36">
        <f>M26*N21</f>
        <v>81.22458760861501</v>
      </c>
      <c r="O18" s="36">
        <f>N26*O21</f>
        <v>82.84907936078731</v>
      </c>
    </row>
    <row r="19" spans="2:15" ht="10.5">
      <c r="B19" s="37">
        <v>4</v>
      </c>
      <c r="C19" s="33" t="s">
        <v>3</v>
      </c>
      <c r="D19" s="26"/>
      <c r="E19" s="31">
        <v>0</v>
      </c>
      <c r="F19" s="31">
        <v>0</v>
      </c>
      <c r="G19" s="31">
        <v>0</v>
      </c>
      <c r="H19" s="31">
        <v>0</v>
      </c>
      <c r="I19" s="31">
        <v>0.12</v>
      </c>
      <c r="J19" s="31">
        <v>0.35</v>
      </c>
      <c r="K19" s="31">
        <v>0.35</v>
      </c>
      <c r="L19" s="31">
        <v>0.35</v>
      </c>
      <c r="M19" s="31">
        <v>0.35</v>
      </c>
      <c r="N19" s="31">
        <v>0.35</v>
      </c>
      <c r="O19" s="31">
        <v>0.35</v>
      </c>
    </row>
    <row r="20" spans="2:15" ht="10.5">
      <c r="B20" s="37">
        <v>5</v>
      </c>
      <c r="C20" s="34" t="s">
        <v>1</v>
      </c>
      <c r="D20" s="23"/>
      <c r="E20" s="31">
        <v>0.133</v>
      </c>
      <c r="F20" s="31">
        <v>0.133</v>
      </c>
      <c r="G20" s="31">
        <v>0.133</v>
      </c>
      <c r="H20" s="31">
        <v>0.133</v>
      </c>
      <c r="I20" s="31">
        <v>0.133</v>
      </c>
      <c r="J20" s="31">
        <v>0.133</v>
      </c>
      <c r="K20" s="31">
        <v>0.133</v>
      </c>
      <c r="L20" s="31">
        <v>0.133</v>
      </c>
      <c r="M20" s="23">
        <v>0.133</v>
      </c>
      <c r="N20" s="23">
        <v>0.133</v>
      </c>
      <c r="O20" s="23">
        <v>0.133</v>
      </c>
    </row>
    <row r="21" spans="2:15" ht="10.5">
      <c r="B21" s="37">
        <v>6</v>
      </c>
      <c r="C21" s="34" t="s">
        <v>14</v>
      </c>
      <c r="D21" s="23"/>
      <c r="E21" s="31">
        <v>0.09</v>
      </c>
      <c r="F21" s="31">
        <f aca="true" t="shared" si="4" ref="F21:O21">E21</f>
        <v>0.09</v>
      </c>
      <c r="G21" s="31">
        <f t="shared" si="4"/>
        <v>0.09</v>
      </c>
      <c r="H21" s="31">
        <f t="shared" si="4"/>
        <v>0.09</v>
      </c>
      <c r="I21" s="31">
        <f t="shared" si="4"/>
        <v>0.09</v>
      </c>
      <c r="J21" s="31">
        <f t="shared" si="4"/>
        <v>0.09</v>
      </c>
      <c r="K21" s="31">
        <f t="shared" si="4"/>
        <v>0.09</v>
      </c>
      <c r="L21" s="31">
        <f t="shared" si="4"/>
        <v>0.09</v>
      </c>
      <c r="M21" s="23">
        <f t="shared" si="4"/>
        <v>0.09</v>
      </c>
      <c r="N21" s="23">
        <f t="shared" si="4"/>
        <v>0.09</v>
      </c>
      <c r="O21" s="23">
        <f t="shared" si="4"/>
        <v>0.09</v>
      </c>
    </row>
    <row r="22" spans="2:15" ht="10.5">
      <c r="B22" s="37">
        <v>7</v>
      </c>
      <c r="C22" s="33" t="s">
        <v>23</v>
      </c>
      <c r="D22" s="16"/>
      <c r="E22" s="43">
        <v>0.1</v>
      </c>
      <c r="F22" s="43">
        <v>0.1</v>
      </c>
      <c r="G22" s="43">
        <v>0.1</v>
      </c>
      <c r="H22" s="43">
        <v>0.1</v>
      </c>
      <c r="I22" s="43">
        <v>0.1</v>
      </c>
      <c r="J22" s="43">
        <v>0.1</v>
      </c>
      <c r="K22" s="43">
        <v>0.1</v>
      </c>
      <c r="L22" s="43">
        <v>0.1</v>
      </c>
      <c r="M22" s="16">
        <v>0.1</v>
      </c>
      <c r="N22" s="16">
        <v>0.1</v>
      </c>
      <c r="O22" s="16">
        <v>0.1</v>
      </c>
    </row>
    <row r="23" spans="2:15" ht="10.5">
      <c r="B23" s="37"/>
      <c r="C23" s="3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5" ht="10.5">
      <c r="B24" s="37">
        <v>8</v>
      </c>
      <c r="C24" s="32" t="s">
        <v>10</v>
      </c>
      <c r="D24" s="41">
        <f>D12</f>
        <v>3032.396669378021</v>
      </c>
      <c r="E24" s="41">
        <f aca="true" t="shared" si="5" ref="E24:O24">D24*(1+E20)-E17</f>
        <v>3435.705426405298</v>
      </c>
      <c r="F24" s="41">
        <f t="shared" si="5"/>
        <v>3892.6542481172028</v>
      </c>
      <c r="G24" s="41">
        <f t="shared" si="5"/>
        <v>4410.37726311679</v>
      </c>
      <c r="H24" s="41">
        <f t="shared" si="5"/>
        <v>4996.957439111324</v>
      </c>
      <c r="I24" s="41">
        <f t="shared" si="5"/>
        <v>5627.239053022934</v>
      </c>
      <c r="J24" s="41">
        <f t="shared" si="5"/>
        <v>6340.6618470749845</v>
      </c>
      <c r="K24" s="41">
        <f t="shared" si="5"/>
        <v>6710.791873915867</v>
      </c>
      <c r="L24" s="41">
        <f t="shared" si="5"/>
        <v>7120.685634350185</v>
      </c>
      <c r="M24" s="21">
        <f t="shared" si="5"/>
        <v>7575.442433746337</v>
      </c>
      <c r="N24" s="21">
        <f t="shared" si="5"/>
        <v>8080.83599966273</v>
      </c>
      <c r="O24" s="21">
        <f t="shared" si="5"/>
        <v>8643.404104290566</v>
      </c>
    </row>
    <row r="25" spans="2:15" ht="10.5">
      <c r="B25" s="37">
        <v>9</v>
      </c>
      <c r="C25" s="34" t="s">
        <v>12</v>
      </c>
      <c r="D25" s="23"/>
      <c r="E25" s="24">
        <f aca="true" t="shared" si="6" ref="E25:O25">E17-E16+E18*(1-E19)</f>
        <v>396.56</v>
      </c>
      <c r="F25" s="24">
        <f t="shared" si="6"/>
        <v>244.25039999999998</v>
      </c>
      <c r="G25" s="24">
        <f t="shared" si="6"/>
        <v>-85.76706400000003</v>
      </c>
      <c r="H25" s="24">
        <f t="shared" si="6"/>
        <v>-197.48609976000003</v>
      </c>
      <c r="I25" s="24">
        <f t="shared" si="6"/>
        <v>-302.594941399596</v>
      </c>
      <c r="J25" s="24">
        <f t="shared" si="6"/>
        <v>-388.52070575183643</v>
      </c>
      <c r="K25" s="24">
        <f t="shared" si="6"/>
        <v>17.00883178177134</v>
      </c>
      <c r="L25" s="24">
        <f t="shared" si="6"/>
        <v>17.34900841740678</v>
      </c>
      <c r="M25" s="24">
        <f t="shared" si="6"/>
        <v>17.695988585754904</v>
      </c>
      <c r="N25" s="24">
        <f t="shared" si="6"/>
        <v>18.04990835746998</v>
      </c>
      <c r="O25" s="24">
        <f t="shared" si="6"/>
        <v>18.410906524619328</v>
      </c>
    </row>
    <row r="26" spans="2:15" ht="10.5">
      <c r="B26" s="37">
        <v>10</v>
      </c>
      <c r="C26" s="32" t="s">
        <v>11</v>
      </c>
      <c r="D26" s="21">
        <v>1184</v>
      </c>
      <c r="E26" s="21">
        <f aca="true" t="shared" si="7" ref="E26:O26">D26+E25</f>
        <v>1580.56</v>
      </c>
      <c r="F26" s="21">
        <f t="shared" si="7"/>
        <v>1824.8103999999998</v>
      </c>
      <c r="G26" s="21">
        <f t="shared" si="7"/>
        <v>1739.0433359999997</v>
      </c>
      <c r="H26" s="21">
        <f t="shared" si="7"/>
        <v>1541.5572362399996</v>
      </c>
      <c r="I26" s="21">
        <f t="shared" si="7"/>
        <v>1238.9622948404035</v>
      </c>
      <c r="J26" s="21">
        <f t="shared" si="7"/>
        <v>850.4415890885671</v>
      </c>
      <c r="K26" s="21">
        <f t="shared" si="7"/>
        <v>867.4504208703385</v>
      </c>
      <c r="L26" s="21">
        <f t="shared" si="7"/>
        <v>884.7994292877453</v>
      </c>
      <c r="M26" s="21">
        <f t="shared" si="7"/>
        <v>902.4954178735002</v>
      </c>
      <c r="N26" s="21">
        <f t="shared" si="7"/>
        <v>920.5453262309702</v>
      </c>
      <c r="O26" s="21">
        <f t="shared" si="7"/>
        <v>938.9562327555896</v>
      </c>
    </row>
    <row r="27" spans="2:15" ht="10.5">
      <c r="B27" s="37">
        <v>11</v>
      </c>
      <c r="C27" s="32" t="s">
        <v>9</v>
      </c>
      <c r="D27" s="22">
        <f aca="true" t="shared" si="8" ref="D27:O27">D26/(D26+D24)</f>
        <v>0.2808084942763834</v>
      </c>
      <c r="E27" s="22">
        <f t="shared" si="8"/>
        <v>0.31508699513387667</v>
      </c>
      <c r="F27" s="22">
        <f t="shared" si="8"/>
        <v>0.3191642646362355</v>
      </c>
      <c r="G27" s="22">
        <f t="shared" si="8"/>
        <v>0.282797916969571</v>
      </c>
      <c r="H27" s="22">
        <f t="shared" si="8"/>
        <v>0.23576566128257095</v>
      </c>
      <c r="I27" s="22">
        <f t="shared" si="8"/>
        <v>0.1804436299011171</v>
      </c>
      <c r="J27" s="22">
        <f t="shared" si="8"/>
        <v>0.11826301716253396</v>
      </c>
      <c r="K27" s="22">
        <f t="shared" si="8"/>
        <v>0.11446591269154066</v>
      </c>
      <c r="L27" s="22">
        <f t="shared" si="8"/>
        <v>0.11052414966166536</v>
      </c>
      <c r="M27" s="22">
        <f t="shared" si="8"/>
        <v>0.10645223327522563</v>
      </c>
      <c r="N27" s="22">
        <f t="shared" si="8"/>
        <v>0.1022671180014223</v>
      </c>
      <c r="O27" s="22">
        <f t="shared" si="8"/>
        <v>0.09798799040415034</v>
      </c>
    </row>
    <row r="28" ht="10.5">
      <c r="B28" s="38"/>
    </row>
    <row r="29" spans="2:15" ht="10.5">
      <c r="B29" s="37">
        <v>12</v>
      </c>
      <c r="C29" s="23" t="s">
        <v>16</v>
      </c>
      <c r="D29" s="23"/>
      <c r="E29" s="23">
        <f>D27*E21*(1-E19)+(1-D27)*E20</f>
        <v>0.12092523474611552</v>
      </c>
      <c r="F29" s="23">
        <f aca="true" t="shared" si="9" ref="F29:O29">E27*F21*(1-F19)+(1-E27)*F20</f>
        <v>0.11945125920924331</v>
      </c>
      <c r="G29" s="23">
        <f t="shared" si="9"/>
        <v>0.11927593662064188</v>
      </c>
      <c r="H29" s="23">
        <f t="shared" si="9"/>
        <v>0.12083968957030845</v>
      </c>
      <c r="I29" s="23">
        <f t="shared" si="9"/>
        <v>0.12031580742299769</v>
      </c>
      <c r="J29" s="23">
        <f t="shared" si="9"/>
        <v>0.11955694957236677</v>
      </c>
      <c r="K29" s="23">
        <f t="shared" si="9"/>
        <v>0.12418940522139123</v>
      </c>
      <c r="L29" s="23">
        <f t="shared" si="9"/>
        <v>0.12447228950448022</v>
      </c>
      <c r="M29" s="23">
        <f t="shared" si="9"/>
        <v>0.12476595085020593</v>
      </c>
      <c r="N29" s="23">
        <f t="shared" si="9"/>
        <v>0.12506930862099572</v>
      </c>
      <c r="O29" s="23">
        <f t="shared" si="9"/>
        <v>0.12538109970889405</v>
      </c>
    </row>
    <row r="30" spans="2:15" ht="10.5">
      <c r="B30" s="37">
        <v>13</v>
      </c>
      <c r="C30" s="25" t="s">
        <v>6</v>
      </c>
      <c r="D30" s="16"/>
      <c r="E30" s="16">
        <f>(E22-D27*E21*(1-E19))/(1-D27)</f>
        <v>0.103904502375815</v>
      </c>
      <c r="F30" s="16">
        <f aca="true" t="shared" si="10" ref="F30:O30">(F22-E27*F21*(1-F19))/(1-E27)</f>
        <v>0.10460039439892758</v>
      </c>
      <c r="G30" s="16">
        <f t="shared" si="10"/>
        <v>0.10468783067718544</v>
      </c>
      <c r="H30" s="16">
        <f t="shared" si="10"/>
        <v>0.10394307160646622</v>
      </c>
      <c r="I30" s="16">
        <f t="shared" si="10"/>
        <v>0.10641678279322997</v>
      </c>
      <c r="J30" s="16">
        <f t="shared" si="10"/>
        <v>0.10913715140789261</v>
      </c>
      <c r="K30" s="16">
        <f t="shared" si="10"/>
        <v>0.10556618958688938</v>
      </c>
      <c r="L30" s="16">
        <f t="shared" si="10"/>
        <v>0.10536437325765445</v>
      </c>
      <c r="M30" s="16">
        <f t="shared" si="10"/>
        <v>0.10515669111107899</v>
      </c>
      <c r="N30" s="16">
        <f t="shared" si="10"/>
        <v>0.10494407556645217</v>
      </c>
      <c r="O30" s="16">
        <f t="shared" si="10"/>
        <v>0.104727559257505</v>
      </c>
    </row>
    <row r="31" spans="2:10" ht="10.5">
      <c r="B31" s="12"/>
      <c r="C31" s="3"/>
      <c r="D31" s="9"/>
      <c r="E31" s="9"/>
      <c r="F31" s="9"/>
      <c r="G31" s="9"/>
      <c r="H31" s="9"/>
      <c r="I31" s="9"/>
      <c r="J31" s="9"/>
    </row>
    <row r="32" spans="2:10" ht="10.5">
      <c r="B32" s="12"/>
      <c r="C32" s="3" t="s">
        <v>18</v>
      </c>
      <c r="D32" s="45">
        <f>NPV(E20,E17:N17)+O17/(E20-B5)/(1+E20)^10</f>
        <v>2014.4754317065986</v>
      </c>
      <c r="E32" s="9"/>
      <c r="F32" s="9"/>
      <c r="G32" s="9"/>
      <c r="H32" s="9"/>
      <c r="I32" s="9"/>
      <c r="J32" s="9"/>
    </row>
    <row r="33" spans="2:10" ht="10.5">
      <c r="B33" s="12"/>
      <c r="C33" s="3"/>
      <c r="D33" s="9"/>
      <c r="E33" s="9"/>
      <c r="F33" s="9"/>
      <c r="G33" s="9"/>
      <c r="H33" s="9"/>
      <c r="I33" s="9"/>
      <c r="J33" s="9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2002-02-09T09:48:41Z</dcterms:created>
  <dcterms:modified xsi:type="dcterms:W3CDTF">2004-03-08T17:21:06Z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125392989</vt:i4>
  </property>
  <property fmtid="{D5CDD505-2E9C-101B-9397-08002B2CF9AE}" pid="4" name="_EmailSubje">
    <vt:lpwstr>Cambiar estas tablas cap 36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