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8955" windowHeight="5775" tabRatio="500" activeTab="0"/>
  </bookViews>
  <sheets>
    <sheet name="29.4" sheetId="1" r:id="rId1"/>
  </sheets>
  <externalReferences>
    <externalReference r:id="rId4"/>
    <externalReference r:id="rId5"/>
  </externalReferences>
  <definedNames>
    <definedName name="_xlnm.Print_Area" localSheetId="0">'29.4'!$B$1:$M$72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<sst xmlns="http://schemas.openxmlformats.org/spreadsheetml/2006/main" count="57" uniqueCount="54">
  <si>
    <t>(millones de dólares)</t>
  </si>
  <si>
    <t>NOF</t>
  </si>
  <si>
    <t>Activos fijos</t>
  </si>
  <si>
    <t>Total activo neto</t>
  </si>
  <si>
    <t>Deuda</t>
  </si>
  <si>
    <t>Recursos propios</t>
  </si>
  <si>
    <t>Total pasivo neto</t>
  </si>
  <si>
    <t>VENTAS</t>
  </si>
  <si>
    <t>Tabaco</t>
  </si>
  <si>
    <t>Alimentos</t>
  </si>
  <si>
    <t>Ventas</t>
  </si>
  <si>
    <t>Bfo. Operativo (después de amortización)</t>
  </si>
  <si>
    <t>Central</t>
  </si>
  <si>
    <t>Beneficio operativo</t>
  </si>
  <si>
    <t>Intereses</t>
  </si>
  <si>
    <t>Beneficio neto</t>
  </si>
  <si>
    <t>Amortización e</t>
  </si>
  <si>
    <t>impuestos diferidos</t>
  </si>
  <si>
    <t>Inversiones</t>
  </si>
  <si>
    <t>Aumento NOF</t>
  </si>
  <si>
    <t>Aumento de deuda</t>
  </si>
  <si>
    <t>Flujo acciones</t>
  </si>
  <si>
    <t xml:space="preserve"> - aumento de deuda</t>
  </si>
  <si>
    <t>(1-0,34)Intereses</t>
  </si>
  <si>
    <t>FCF</t>
  </si>
  <si>
    <t>($ millones)</t>
  </si>
  <si>
    <t>Rf</t>
  </si>
  <si>
    <t>Pm</t>
  </si>
  <si>
    <t>Beta u</t>
  </si>
  <si>
    <t>Beta d</t>
  </si>
  <si>
    <t>beta L</t>
  </si>
  <si>
    <t>Ke</t>
  </si>
  <si>
    <t>Producto (1+Ke)</t>
  </si>
  <si>
    <t>CFac / Producto (1+Ke)</t>
  </si>
  <si>
    <t>D</t>
  </si>
  <si>
    <t>D+E</t>
  </si>
  <si>
    <t>Kd</t>
  </si>
  <si>
    <t>WACC</t>
  </si>
  <si>
    <t>Producto (1+WACC)</t>
  </si>
  <si>
    <t>FCF / Producto (1+wacc)</t>
  </si>
  <si>
    <t>Ku</t>
  </si>
  <si>
    <t>DTKu</t>
  </si>
  <si>
    <t>D+E = DVTS + Vu</t>
  </si>
  <si>
    <t>CCF</t>
  </si>
  <si>
    <r>
      <t>WACC</t>
    </r>
    <r>
      <rPr>
        <vertAlign val="subscript"/>
        <sz val="9"/>
        <rFont val="Tms Rmn"/>
        <family val="0"/>
      </rPr>
      <t>BT</t>
    </r>
  </si>
  <si>
    <r>
      <t>Producto (1+WACC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)</t>
    </r>
  </si>
  <si>
    <t>CCF / Producto (1+wacc)</t>
  </si>
  <si>
    <t>PV(FCF;WACC)</t>
  </si>
  <si>
    <t>Vu=PV(FCF;Ku)</t>
  </si>
  <si>
    <t>DVTS=PV(DTKu;Ku)</t>
  </si>
  <si>
    <r>
      <t>D+E = PV(CCF;WACC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)</t>
    </r>
  </si>
  <si>
    <t>($ million)</t>
  </si>
  <si>
    <t>RJR NABISCO. Estrategia anterior a la oferta</t>
  </si>
  <si>
    <t>E=PV(CFac;Ke)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</si>
</sst>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"/>
    <numFmt numFmtId="189" formatCode="0.000"/>
    <numFmt numFmtId="190" formatCode="0.0%"/>
    <numFmt numFmtId="191" formatCode="#,##0.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Tms Rmn"/>
      <family val="0"/>
    </font>
    <font>
      <sz val="9"/>
      <name val="Tms Rmn"/>
      <family val="0"/>
    </font>
    <font>
      <b/>
      <sz val="12"/>
      <name val="Tms Rmn"/>
      <family val="0"/>
    </font>
    <font>
      <u val="single"/>
      <sz val="9"/>
      <name val="Tms Rmn"/>
      <family val="0"/>
    </font>
    <font>
      <vertAlign val="subscript"/>
      <sz val="9"/>
      <name val="Tms Rm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190" fontId="5" fillId="0" borderId="0" xfId="19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19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18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ocumentos%20PFernandez\Documentos_Mac\Book%20valuation\Figures_tables\RJR%20Nabisco%20book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os\Disco%202\DOCUMENTOS\CURSOS\CASOS\RJR%20Nabisco\RJR%20Nabisco%20libro%20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JR Nabisco libr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RJR Nabisco libr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workbookViewId="0" topLeftCell="A33">
      <selection activeCell="B72" sqref="B72"/>
    </sheetView>
  </sheetViews>
  <sheetFormatPr defaultColWidth="9.00390625" defaultRowHeight="12.75"/>
  <cols>
    <col min="1" max="1" width="2.75390625" style="8" customWidth="1"/>
    <col min="2" max="2" width="19.625" style="8" customWidth="1"/>
    <col min="3" max="13" width="7.25390625" style="8" customWidth="1"/>
    <col min="14" max="14" width="6.75390625" style="8" customWidth="1"/>
    <col min="15" max="17" width="4.75390625" style="8" customWidth="1"/>
    <col min="18" max="18" width="6.75390625" style="0" customWidth="1"/>
    <col min="19" max="19" width="28.375" style="0" customWidth="1"/>
    <col min="20" max="20" width="7.375" style="0" customWidth="1"/>
    <col min="21" max="21" width="6.25390625" style="0" customWidth="1"/>
    <col min="22" max="22" width="7.375" style="0" customWidth="1"/>
    <col min="23" max="23" width="6.25390625" style="0" customWidth="1"/>
    <col min="24" max="24" width="10.75390625" style="0" customWidth="1"/>
    <col min="25" max="16384" width="10.75390625" style="8" customWidth="1"/>
  </cols>
  <sheetData>
    <row r="1" spans="3:24" s="3" customFormat="1" ht="18" customHeight="1">
      <c r="C1" s="4"/>
      <c r="D1" s="4"/>
      <c r="E1" s="4" t="s">
        <v>52</v>
      </c>
      <c r="G1" s="4"/>
      <c r="H1" s="4"/>
      <c r="I1" s="4"/>
      <c r="R1"/>
      <c r="S1"/>
      <c r="T1"/>
      <c r="U1"/>
      <c r="V1"/>
      <c r="W1"/>
      <c r="X1"/>
    </row>
    <row r="2" spans="3:24" s="3" customFormat="1" ht="10.5" customHeight="1">
      <c r="C2" s="4"/>
      <c r="D2" s="4"/>
      <c r="E2" s="4"/>
      <c r="G2" s="4"/>
      <c r="H2" s="4"/>
      <c r="I2" s="4"/>
      <c r="R2"/>
      <c r="S2"/>
      <c r="T2"/>
      <c r="U2"/>
      <c r="V2"/>
      <c r="W2"/>
      <c r="X2"/>
    </row>
    <row r="3" spans="2:24" s="7" customFormat="1" ht="12.75">
      <c r="B3" s="12" t="s">
        <v>0</v>
      </c>
      <c r="C3" s="7">
        <v>1988</v>
      </c>
      <c r="D3" s="7">
        <f aca="true" t="shared" si="0" ref="D3:M3">C3+1</f>
        <v>1989</v>
      </c>
      <c r="E3" s="7">
        <f t="shared" si="0"/>
        <v>1990</v>
      </c>
      <c r="F3" s="7">
        <f t="shared" si="0"/>
        <v>1991</v>
      </c>
      <c r="G3" s="7">
        <f t="shared" si="0"/>
        <v>1992</v>
      </c>
      <c r="H3" s="7">
        <f t="shared" si="0"/>
        <v>1993</v>
      </c>
      <c r="I3" s="7">
        <f t="shared" si="0"/>
        <v>1994</v>
      </c>
      <c r="J3" s="7">
        <f t="shared" si="0"/>
        <v>1995</v>
      </c>
      <c r="K3" s="7">
        <f t="shared" si="0"/>
        <v>1996</v>
      </c>
      <c r="L3" s="7">
        <f t="shared" si="0"/>
        <v>1997</v>
      </c>
      <c r="M3" s="7">
        <f t="shared" si="0"/>
        <v>1998</v>
      </c>
      <c r="R3"/>
      <c r="S3"/>
      <c r="T3"/>
      <c r="U3"/>
      <c r="V3"/>
      <c r="W3"/>
      <c r="X3"/>
    </row>
    <row r="4" spans="2:13" ht="12.75">
      <c r="B4" s="8" t="s">
        <v>1</v>
      </c>
      <c r="C4" s="1">
        <v>1191</v>
      </c>
      <c r="D4" s="1">
        <f aca="true" t="shared" si="1" ref="D4:M4">C4+D26</f>
        <v>1271</v>
      </c>
      <c r="E4" s="1">
        <f t="shared" si="1"/>
        <v>1382</v>
      </c>
      <c r="F4" s="1">
        <f t="shared" si="1"/>
        <v>1480</v>
      </c>
      <c r="G4" s="1">
        <f t="shared" si="1"/>
        <v>1585</v>
      </c>
      <c r="H4" s="1">
        <f t="shared" si="1"/>
        <v>1698</v>
      </c>
      <c r="I4" s="1">
        <f t="shared" si="1"/>
        <v>1819</v>
      </c>
      <c r="J4" s="1">
        <f t="shared" si="1"/>
        <v>1949</v>
      </c>
      <c r="K4" s="1">
        <f t="shared" si="1"/>
        <v>2089</v>
      </c>
      <c r="L4" s="1">
        <f t="shared" si="1"/>
        <v>2240</v>
      </c>
      <c r="M4" s="1">
        <f t="shared" si="1"/>
        <v>2402</v>
      </c>
    </row>
    <row r="5" spans="2:13" ht="12.75">
      <c r="B5" s="8" t="s">
        <v>2</v>
      </c>
      <c r="C5" s="1">
        <f>C10-C4</f>
        <v>11223</v>
      </c>
      <c r="D5" s="1">
        <f aca="true" t="shared" si="2" ref="D5:M5">C5+D25-D24</f>
        <v>12124</v>
      </c>
      <c r="E5" s="1">
        <f t="shared" si="2"/>
        <v>12795</v>
      </c>
      <c r="F5" s="1">
        <f t="shared" si="2"/>
        <v>13321</v>
      </c>
      <c r="G5" s="1">
        <f t="shared" si="2"/>
        <v>13402</v>
      </c>
      <c r="H5" s="1">
        <f t="shared" si="2"/>
        <v>13274</v>
      </c>
      <c r="I5" s="1">
        <f t="shared" si="2"/>
        <v>13142</v>
      </c>
      <c r="J5" s="1">
        <f t="shared" si="2"/>
        <v>13010</v>
      </c>
      <c r="K5" s="1">
        <f t="shared" si="2"/>
        <v>12878</v>
      </c>
      <c r="L5" s="1">
        <f t="shared" si="2"/>
        <v>12746</v>
      </c>
      <c r="M5" s="1">
        <f t="shared" si="2"/>
        <v>12620</v>
      </c>
    </row>
    <row r="6" spans="2:13" ht="12.75">
      <c r="B6" s="8" t="s">
        <v>3</v>
      </c>
      <c r="C6" s="1">
        <f aca="true" t="shared" si="3" ref="C6:M6">C4+C5</f>
        <v>12414</v>
      </c>
      <c r="D6" s="1">
        <f t="shared" si="3"/>
        <v>13395</v>
      </c>
      <c r="E6" s="1">
        <f t="shared" si="3"/>
        <v>14177</v>
      </c>
      <c r="F6" s="1">
        <f t="shared" si="3"/>
        <v>14801</v>
      </c>
      <c r="G6" s="1">
        <f t="shared" si="3"/>
        <v>14987</v>
      </c>
      <c r="H6" s="1">
        <f t="shared" si="3"/>
        <v>14972</v>
      </c>
      <c r="I6" s="1">
        <f t="shared" si="3"/>
        <v>14961</v>
      </c>
      <c r="J6" s="1">
        <f t="shared" si="3"/>
        <v>14959</v>
      </c>
      <c r="K6" s="1">
        <f t="shared" si="3"/>
        <v>14967</v>
      </c>
      <c r="L6" s="1">
        <f t="shared" si="3"/>
        <v>14986</v>
      </c>
      <c r="M6" s="1">
        <f t="shared" si="3"/>
        <v>15022</v>
      </c>
    </row>
    <row r="7" spans="3:13" ht="12.75"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2.75">
      <c r="B8" s="8" t="s">
        <v>4</v>
      </c>
      <c r="C8" s="1">
        <v>5204</v>
      </c>
      <c r="D8" s="1">
        <f aca="true" t="shared" si="4" ref="D8:M8">E21/0.11</f>
        <v>6018.181818181818</v>
      </c>
      <c r="E8" s="1">
        <f t="shared" si="4"/>
        <v>6300</v>
      </c>
      <c r="F8" s="1">
        <f t="shared" si="4"/>
        <v>6272.727272727273</v>
      </c>
      <c r="G8" s="1">
        <f t="shared" si="4"/>
        <v>5981.818181818182</v>
      </c>
      <c r="H8" s="1">
        <f t="shared" si="4"/>
        <v>5400</v>
      </c>
      <c r="I8" s="1">
        <f t="shared" si="4"/>
        <v>4163.636363636364</v>
      </c>
      <c r="J8" s="1">
        <f t="shared" si="4"/>
        <v>3727.2727272727275</v>
      </c>
      <c r="K8" s="1">
        <f t="shared" si="4"/>
        <v>2354.5454545454545</v>
      </c>
      <c r="L8" s="1">
        <f t="shared" si="4"/>
        <v>0</v>
      </c>
      <c r="M8" s="1">
        <f t="shared" si="4"/>
        <v>0</v>
      </c>
    </row>
    <row r="9" spans="2:13" ht="12.75">
      <c r="B9" s="8" t="s">
        <v>5</v>
      </c>
      <c r="C9" s="1">
        <v>7210</v>
      </c>
      <c r="D9" s="1">
        <f aca="true" t="shared" si="5" ref="D9:M9">C9+D22-D28</f>
        <v>7376.818181818182</v>
      </c>
      <c r="E9" s="1">
        <f t="shared" si="5"/>
        <v>7877</v>
      </c>
      <c r="F9" s="1">
        <f t="shared" si="5"/>
        <v>8528.272727272728</v>
      </c>
      <c r="G9" s="1">
        <f t="shared" si="5"/>
        <v>9005.18181818182</v>
      </c>
      <c r="H9" s="1">
        <f t="shared" si="5"/>
        <v>9572.000000000002</v>
      </c>
      <c r="I9" s="1">
        <f t="shared" si="5"/>
        <v>10797.363636363638</v>
      </c>
      <c r="J9" s="1">
        <f t="shared" si="5"/>
        <v>11231.727272727274</v>
      </c>
      <c r="K9" s="1">
        <f t="shared" si="5"/>
        <v>12612.454545454548</v>
      </c>
      <c r="L9" s="1">
        <f t="shared" si="5"/>
        <v>14986.000000000002</v>
      </c>
      <c r="M9" s="1">
        <f t="shared" si="5"/>
        <v>15022</v>
      </c>
    </row>
    <row r="10" spans="2:13" ht="12.75">
      <c r="B10" s="6" t="s">
        <v>6</v>
      </c>
      <c r="C10" s="5">
        <f aca="true" t="shared" si="6" ref="C10:M10">C8+C9</f>
        <v>12414</v>
      </c>
      <c r="D10" s="5">
        <f t="shared" si="6"/>
        <v>13395</v>
      </c>
      <c r="E10" s="5">
        <f t="shared" si="6"/>
        <v>14177</v>
      </c>
      <c r="F10" s="5">
        <f t="shared" si="6"/>
        <v>14801</v>
      </c>
      <c r="G10" s="5">
        <f t="shared" si="6"/>
        <v>14987.000000000002</v>
      </c>
      <c r="H10" s="5">
        <f t="shared" si="6"/>
        <v>14972.000000000002</v>
      </c>
      <c r="I10" s="5">
        <f t="shared" si="6"/>
        <v>14961.000000000002</v>
      </c>
      <c r="J10" s="5">
        <f t="shared" si="6"/>
        <v>14959.000000000002</v>
      </c>
      <c r="K10" s="5">
        <f t="shared" si="6"/>
        <v>14967.000000000002</v>
      </c>
      <c r="L10" s="5">
        <f t="shared" si="6"/>
        <v>14986.000000000002</v>
      </c>
      <c r="M10" s="5">
        <f t="shared" si="6"/>
        <v>15022</v>
      </c>
    </row>
    <row r="11" spans="2:24" s="7" customFormat="1" ht="12.75" customHeight="1">
      <c r="B11" s="25"/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/>
      <c r="S11"/>
      <c r="T11"/>
      <c r="U11"/>
      <c r="V11"/>
      <c r="W11"/>
      <c r="X11"/>
    </row>
    <row r="12" spans="2:24" s="7" customFormat="1" ht="12.75" customHeight="1">
      <c r="B12" s="7" t="s">
        <v>7</v>
      </c>
      <c r="R12"/>
      <c r="S12"/>
      <c r="T12"/>
      <c r="U12"/>
      <c r="V12"/>
      <c r="W12"/>
      <c r="X12"/>
    </row>
    <row r="13" spans="2:13" ht="12.75" customHeight="1">
      <c r="B13" s="8" t="s">
        <v>8</v>
      </c>
      <c r="C13" s="1">
        <v>7061</v>
      </c>
      <c r="D13" s="1">
        <v>7650</v>
      </c>
      <c r="E13" s="1">
        <v>8293</v>
      </c>
      <c r="F13" s="1">
        <v>8983</v>
      </c>
      <c r="G13" s="1">
        <v>9731</v>
      </c>
      <c r="H13" s="1">
        <v>10540</v>
      </c>
      <c r="I13" s="1">
        <v>11418</v>
      </c>
      <c r="J13" s="1">
        <v>12368</v>
      </c>
      <c r="K13" s="1">
        <v>13397</v>
      </c>
      <c r="L13" s="1">
        <v>14514</v>
      </c>
      <c r="M13" s="1">
        <v>15723</v>
      </c>
    </row>
    <row r="14" spans="2:13" ht="12.75" customHeight="1">
      <c r="B14" s="8" t="s">
        <v>9</v>
      </c>
      <c r="C14" s="1">
        <v>9889</v>
      </c>
      <c r="D14" s="1">
        <v>10438</v>
      </c>
      <c r="E14" s="1">
        <v>11383</v>
      </c>
      <c r="F14" s="1">
        <v>12092</v>
      </c>
      <c r="G14" s="1">
        <v>12847</v>
      </c>
      <c r="H14" s="1">
        <v>13651</v>
      </c>
      <c r="I14" s="1">
        <v>14507</v>
      </c>
      <c r="J14" s="1">
        <v>15420</v>
      </c>
      <c r="K14" s="1">
        <v>16393</v>
      </c>
      <c r="L14" s="1">
        <v>17428</v>
      </c>
      <c r="M14" s="1">
        <v>18533</v>
      </c>
    </row>
    <row r="15" spans="2:24" s="20" customFormat="1" ht="12" customHeight="1">
      <c r="B15" s="20" t="s">
        <v>10</v>
      </c>
      <c r="C15" s="18">
        <f aca="true" t="shared" si="7" ref="C15:M15">C13+C14</f>
        <v>16950</v>
      </c>
      <c r="D15" s="18">
        <f t="shared" si="7"/>
        <v>18088</v>
      </c>
      <c r="E15" s="18">
        <f t="shared" si="7"/>
        <v>19676</v>
      </c>
      <c r="F15" s="18">
        <f t="shared" si="7"/>
        <v>21075</v>
      </c>
      <c r="G15" s="18">
        <f t="shared" si="7"/>
        <v>22578</v>
      </c>
      <c r="H15" s="18">
        <f t="shared" si="7"/>
        <v>24191</v>
      </c>
      <c r="I15" s="18">
        <f t="shared" si="7"/>
        <v>25925</v>
      </c>
      <c r="J15" s="18">
        <f t="shared" si="7"/>
        <v>27788</v>
      </c>
      <c r="K15" s="18">
        <f t="shared" si="7"/>
        <v>29790</v>
      </c>
      <c r="L15" s="18">
        <f t="shared" si="7"/>
        <v>31942</v>
      </c>
      <c r="M15" s="18">
        <f t="shared" si="7"/>
        <v>34256</v>
      </c>
      <c r="R15"/>
      <c r="S15"/>
      <c r="T15"/>
      <c r="U15"/>
      <c r="V15"/>
      <c r="W15"/>
      <c r="X15"/>
    </row>
    <row r="16" spans="2:24" s="7" customFormat="1" ht="12" customHeight="1">
      <c r="B16" s="7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R16"/>
      <c r="S16"/>
      <c r="T16"/>
      <c r="U16"/>
      <c r="V16"/>
      <c r="W16"/>
      <c r="X16"/>
    </row>
    <row r="17" spans="2:13" ht="12" customHeight="1">
      <c r="B17" s="8" t="s">
        <v>8</v>
      </c>
      <c r="C17" s="1">
        <v>1924</v>
      </c>
      <c r="D17" s="1">
        <v>2022</v>
      </c>
      <c r="E17" s="1">
        <v>2360</v>
      </c>
      <c r="F17" s="1">
        <v>2786</v>
      </c>
      <c r="G17" s="1">
        <v>3071</v>
      </c>
      <c r="H17" s="1">
        <v>3386</v>
      </c>
      <c r="I17" s="1">
        <v>3733</v>
      </c>
      <c r="J17" s="1">
        <v>4115</v>
      </c>
      <c r="K17" s="1">
        <v>4534</v>
      </c>
      <c r="L17" s="1">
        <v>4998</v>
      </c>
      <c r="M17" s="1">
        <v>5508</v>
      </c>
    </row>
    <row r="18" spans="2:13" ht="12" customHeight="1">
      <c r="B18" s="8" t="s">
        <v>9</v>
      </c>
      <c r="C18" s="1">
        <v>1079</v>
      </c>
      <c r="D18" s="1">
        <v>1163</v>
      </c>
      <c r="E18" s="1">
        <v>1255</v>
      </c>
      <c r="F18" s="1">
        <v>1348</v>
      </c>
      <c r="G18" s="1">
        <v>1459</v>
      </c>
      <c r="H18" s="1">
        <v>1581</v>
      </c>
      <c r="I18" s="1">
        <v>1713</v>
      </c>
      <c r="J18" s="1">
        <v>1855</v>
      </c>
      <c r="K18" s="1">
        <v>2011</v>
      </c>
      <c r="L18" s="1">
        <v>2178</v>
      </c>
      <c r="M18" s="1">
        <v>2361</v>
      </c>
    </row>
    <row r="19" spans="2:13" ht="12" customHeight="1">
      <c r="B19" s="8" t="s">
        <v>12</v>
      </c>
      <c r="C19" s="1">
        <v>-350</v>
      </c>
      <c r="D19" s="1">
        <v>-287</v>
      </c>
      <c r="E19" s="1">
        <v>-279</v>
      </c>
      <c r="F19" s="1">
        <v>-296</v>
      </c>
      <c r="G19" s="1">
        <v>-314</v>
      </c>
      <c r="H19" s="1">
        <v>-333</v>
      </c>
      <c r="I19" s="1">
        <v>-353</v>
      </c>
      <c r="J19" s="1">
        <v>-374</v>
      </c>
      <c r="K19" s="1">
        <v>-396</v>
      </c>
      <c r="L19" s="1">
        <v>-420</v>
      </c>
      <c r="M19" s="1">
        <v>-445</v>
      </c>
    </row>
    <row r="20" spans="2:24" s="20" customFormat="1" ht="12" customHeight="1">
      <c r="B20" s="20" t="s">
        <v>13</v>
      </c>
      <c r="C20" s="18">
        <f aca="true" t="shared" si="8" ref="C20:M20">C17+C18+C19</f>
        <v>2653</v>
      </c>
      <c r="D20" s="18">
        <f t="shared" si="8"/>
        <v>2898</v>
      </c>
      <c r="E20" s="18">
        <f t="shared" si="8"/>
        <v>3336</v>
      </c>
      <c r="F20" s="18">
        <f t="shared" si="8"/>
        <v>3838</v>
      </c>
      <c r="G20" s="18">
        <f t="shared" si="8"/>
        <v>4216</v>
      </c>
      <c r="H20" s="18">
        <f t="shared" si="8"/>
        <v>4634</v>
      </c>
      <c r="I20" s="18">
        <f t="shared" si="8"/>
        <v>5093</v>
      </c>
      <c r="J20" s="18">
        <f t="shared" si="8"/>
        <v>5596</v>
      </c>
      <c r="K20" s="18">
        <f t="shared" si="8"/>
        <v>6149</v>
      </c>
      <c r="L20" s="18">
        <f t="shared" si="8"/>
        <v>6756</v>
      </c>
      <c r="M20" s="18">
        <f t="shared" si="8"/>
        <v>7424</v>
      </c>
      <c r="N20" s="20">
        <f>M20*1.02</f>
        <v>7572.4800000000005</v>
      </c>
      <c r="O20" s="20">
        <f>N20*1.02</f>
        <v>7723.9296</v>
      </c>
      <c r="P20" s="20">
        <f>O20*1.02</f>
        <v>7878.408192000001</v>
      </c>
      <c r="R20"/>
      <c r="S20"/>
      <c r="T20"/>
      <c r="U20"/>
      <c r="V20"/>
      <c r="W20"/>
      <c r="X20"/>
    </row>
    <row r="21" spans="2:13" ht="12.75" customHeight="1">
      <c r="B21" s="8" t="s">
        <v>14</v>
      </c>
      <c r="C21" s="1">
        <v>551</v>
      </c>
      <c r="D21" s="1">
        <v>582</v>
      </c>
      <c r="E21" s="1">
        <v>662</v>
      </c>
      <c r="F21" s="1">
        <v>693</v>
      </c>
      <c r="G21" s="1">
        <v>690</v>
      </c>
      <c r="H21" s="1">
        <v>658</v>
      </c>
      <c r="I21" s="1">
        <v>594</v>
      </c>
      <c r="J21" s="1">
        <v>458</v>
      </c>
      <c r="K21" s="1">
        <v>410</v>
      </c>
      <c r="L21" s="1">
        <v>259</v>
      </c>
      <c r="M21" s="1">
        <v>0</v>
      </c>
    </row>
    <row r="22" spans="2:24" s="7" customFormat="1" ht="12.75" customHeight="1">
      <c r="B22" s="11" t="s">
        <v>15</v>
      </c>
      <c r="C22" s="9">
        <v>1360</v>
      </c>
      <c r="D22" s="9">
        <v>1498</v>
      </c>
      <c r="E22" s="9">
        <v>1730</v>
      </c>
      <c r="F22" s="9">
        <v>2023</v>
      </c>
      <c r="G22" s="9">
        <v>2259</v>
      </c>
      <c r="H22" s="9">
        <v>2536</v>
      </c>
      <c r="I22" s="9">
        <v>2858</v>
      </c>
      <c r="J22" s="9">
        <v>3251</v>
      </c>
      <c r="K22" s="9">
        <v>3625</v>
      </c>
      <c r="L22" s="9">
        <v>4094</v>
      </c>
      <c r="M22" s="9">
        <v>4625</v>
      </c>
      <c r="R22"/>
      <c r="S22"/>
      <c r="T22"/>
      <c r="U22"/>
      <c r="V22"/>
      <c r="W22"/>
      <c r="X22"/>
    </row>
    <row r="23" spans="2:13" ht="12.75">
      <c r="B23" s="8" t="s">
        <v>16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8" t="s">
        <v>17</v>
      </c>
      <c r="C24" s="1">
        <v>730</v>
      </c>
      <c r="D24" s="1">
        <v>807</v>
      </c>
      <c r="E24" s="1">
        <v>791</v>
      </c>
      <c r="F24" s="1">
        <v>819</v>
      </c>
      <c r="G24" s="1">
        <v>849</v>
      </c>
      <c r="H24" s="1">
        <v>866</v>
      </c>
      <c r="I24" s="1">
        <v>867</v>
      </c>
      <c r="J24" s="1">
        <v>867</v>
      </c>
      <c r="K24" s="1">
        <v>867</v>
      </c>
      <c r="L24" s="1">
        <v>867</v>
      </c>
      <c r="M24" s="1">
        <v>861</v>
      </c>
    </row>
    <row r="25" spans="2:13" ht="12.75">
      <c r="B25" s="8" t="s">
        <v>18</v>
      </c>
      <c r="C25" s="1">
        <v>1142</v>
      </c>
      <c r="D25" s="1">
        <v>1708</v>
      </c>
      <c r="E25" s="1">
        <v>1462</v>
      </c>
      <c r="F25" s="1">
        <v>1345</v>
      </c>
      <c r="G25" s="1">
        <v>930</v>
      </c>
      <c r="H25" s="1">
        <v>738</v>
      </c>
      <c r="I25" s="1">
        <v>735</v>
      </c>
      <c r="J25" s="1">
        <v>735</v>
      </c>
      <c r="K25" s="1">
        <v>735</v>
      </c>
      <c r="L25" s="1">
        <v>735</v>
      </c>
      <c r="M25" s="1">
        <v>735</v>
      </c>
    </row>
    <row r="26" spans="2:13" ht="12.75">
      <c r="B26" s="8" t="s">
        <v>19</v>
      </c>
      <c r="C26" s="1"/>
      <c r="D26" s="1">
        <v>80</v>
      </c>
      <c r="E26" s="1">
        <v>111</v>
      </c>
      <c r="F26" s="1">
        <v>98</v>
      </c>
      <c r="G26" s="1">
        <v>105</v>
      </c>
      <c r="H26" s="1">
        <v>113</v>
      </c>
      <c r="I26" s="1">
        <v>121</v>
      </c>
      <c r="J26" s="1">
        <v>130</v>
      </c>
      <c r="K26" s="1">
        <v>140</v>
      </c>
      <c r="L26" s="1">
        <v>151</v>
      </c>
      <c r="M26" s="1">
        <v>162</v>
      </c>
    </row>
    <row r="27" spans="2:13" ht="12.75">
      <c r="B27" s="8" t="s">
        <v>20</v>
      </c>
      <c r="C27" s="1"/>
      <c r="D27" s="1">
        <f aca="true" t="shared" si="9" ref="D27:M27">D8-C8</f>
        <v>814.181818181818</v>
      </c>
      <c r="E27" s="1">
        <f t="shared" si="9"/>
        <v>281.818181818182</v>
      </c>
      <c r="F27" s="1">
        <f t="shared" si="9"/>
        <v>-27.272727272727025</v>
      </c>
      <c r="G27" s="1">
        <f t="shared" si="9"/>
        <v>-290.909090909091</v>
      </c>
      <c r="H27" s="1">
        <f t="shared" si="9"/>
        <v>-581.818181818182</v>
      </c>
      <c r="I27" s="1">
        <f t="shared" si="9"/>
        <v>-1236.363636363636</v>
      </c>
      <c r="J27" s="1">
        <f t="shared" si="9"/>
        <v>-436.3636363636365</v>
      </c>
      <c r="K27" s="1">
        <f t="shared" si="9"/>
        <v>-1372.727272727273</v>
      </c>
      <c r="L27" s="1">
        <f t="shared" si="9"/>
        <v>-2354.5454545454545</v>
      </c>
      <c r="M27" s="1">
        <f t="shared" si="9"/>
        <v>0</v>
      </c>
    </row>
    <row r="28" spans="2:24" s="11" customFormat="1" ht="12.75">
      <c r="B28" s="11" t="s">
        <v>21</v>
      </c>
      <c r="C28" s="9"/>
      <c r="D28" s="9">
        <f aca="true" t="shared" si="10" ref="D28:M28">D22+D24-D25-D26+D27</f>
        <v>1331.181818181818</v>
      </c>
      <c r="E28" s="9">
        <f t="shared" si="10"/>
        <v>1229.818181818182</v>
      </c>
      <c r="F28" s="9">
        <f t="shared" si="10"/>
        <v>1371.727272727273</v>
      </c>
      <c r="G28" s="9">
        <f t="shared" si="10"/>
        <v>1782.090909090909</v>
      </c>
      <c r="H28" s="9">
        <f t="shared" si="10"/>
        <v>1969.181818181818</v>
      </c>
      <c r="I28" s="9">
        <f t="shared" si="10"/>
        <v>1632.636363636364</v>
      </c>
      <c r="J28" s="9">
        <f t="shared" si="10"/>
        <v>2816.6363636363635</v>
      </c>
      <c r="K28" s="9">
        <f t="shared" si="10"/>
        <v>2244.272727272727</v>
      </c>
      <c r="L28" s="9">
        <f t="shared" si="10"/>
        <v>1720.4545454545455</v>
      </c>
      <c r="M28" s="9">
        <f t="shared" si="10"/>
        <v>4589</v>
      </c>
      <c r="R28"/>
      <c r="S28"/>
      <c r="T28"/>
      <c r="U28"/>
      <c r="V28"/>
      <c r="W28"/>
      <c r="X28"/>
    </row>
    <row r="29" spans="2:13" ht="12.75">
      <c r="B29" s="8" t="s">
        <v>22</v>
      </c>
      <c r="C29" s="1"/>
      <c r="D29" s="1">
        <f aca="true" t="shared" si="11" ref="D29:M29">-D27</f>
        <v>-814.181818181818</v>
      </c>
      <c r="E29" s="1">
        <f t="shared" si="11"/>
        <v>-281.818181818182</v>
      </c>
      <c r="F29" s="1">
        <f t="shared" si="11"/>
        <v>27.272727272727025</v>
      </c>
      <c r="G29" s="1">
        <f t="shared" si="11"/>
        <v>290.909090909091</v>
      </c>
      <c r="H29" s="1">
        <f t="shared" si="11"/>
        <v>581.818181818182</v>
      </c>
      <c r="I29" s="1">
        <f t="shared" si="11"/>
        <v>1236.363636363636</v>
      </c>
      <c r="J29" s="1">
        <f t="shared" si="11"/>
        <v>436.3636363636365</v>
      </c>
      <c r="K29" s="1">
        <f t="shared" si="11"/>
        <v>1372.727272727273</v>
      </c>
      <c r="L29" s="1">
        <f t="shared" si="11"/>
        <v>2354.5454545454545</v>
      </c>
      <c r="M29" s="1">
        <f t="shared" si="11"/>
        <v>0</v>
      </c>
    </row>
    <row r="30" spans="2:13" ht="12.75">
      <c r="B30" s="8" t="s">
        <v>23</v>
      </c>
      <c r="C30" s="1"/>
      <c r="D30" s="1">
        <f aca="true" t="shared" si="12" ref="D30:M30">0.66*D21</f>
        <v>384.12</v>
      </c>
      <c r="E30" s="1">
        <f t="shared" si="12"/>
        <v>436.92</v>
      </c>
      <c r="F30" s="1">
        <f t="shared" si="12"/>
        <v>457.38</v>
      </c>
      <c r="G30" s="1">
        <f t="shared" si="12"/>
        <v>455.40000000000003</v>
      </c>
      <c r="H30" s="1">
        <f t="shared" si="12"/>
        <v>434.28000000000003</v>
      </c>
      <c r="I30" s="1">
        <f t="shared" si="12"/>
        <v>392.04</v>
      </c>
      <c r="J30" s="1">
        <f t="shared" si="12"/>
        <v>302.28000000000003</v>
      </c>
      <c r="K30" s="1">
        <f t="shared" si="12"/>
        <v>270.6</v>
      </c>
      <c r="L30" s="1">
        <f t="shared" si="12"/>
        <v>170.94</v>
      </c>
      <c r="M30" s="1">
        <f t="shared" si="12"/>
        <v>0</v>
      </c>
    </row>
    <row r="31" spans="2:24" s="11" customFormat="1" ht="12.75">
      <c r="B31" s="11" t="s">
        <v>24</v>
      </c>
      <c r="C31" s="9"/>
      <c r="D31" s="9">
        <f aca="true" t="shared" si="13" ref="D31:M31">D28+D29+D30</f>
        <v>901.12</v>
      </c>
      <c r="E31" s="9">
        <f t="shared" si="13"/>
        <v>1384.92</v>
      </c>
      <c r="F31" s="9">
        <f t="shared" si="13"/>
        <v>1856.38</v>
      </c>
      <c r="G31" s="9">
        <f t="shared" si="13"/>
        <v>2528.4</v>
      </c>
      <c r="H31" s="9">
        <f t="shared" si="13"/>
        <v>2985.28</v>
      </c>
      <c r="I31" s="9">
        <f t="shared" si="13"/>
        <v>3261.04</v>
      </c>
      <c r="J31" s="9">
        <f t="shared" si="13"/>
        <v>3555.28</v>
      </c>
      <c r="K31" s="9">
        <f t="shared" si="13"/>
        <v>3887.6</v>
      </c>
      <c r="L31" s="9">
        <f t="shared" si="13"/>
        <v>4245.94</v>
      </c>
      <c r="M31" s="9">
        <f t="shared" si="13"/>
        <v>4589</v>
      </c>
      <c r="R31"/>
      <c r="S31"/>
      <c r="T31"/>
      <c r="U31"/>
      <c r="V31"/>
      <c r="W31"/>
      <c r="X31"/>
    </row>
    <row r="32" spans="3:24" s="13" customFormat="1" ht="12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R32"/>
      <c r="S32"/>
      <c r="T32"/>
      <c r="U32"/>
      <c r="V32"/>
      <c r="W32"/>
      <c r="X32"/>
    </row>
    <row r="33" spans="3:24" s="13" customFormat="1" ht="12.7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R33"/>
      <c r="S33"/>
      <c r="T33"/>
      <c r="U33"/>
      <c r="V33"/>
      <c r="W33"/>
      <c r="X33"/>
    </row>
    <row r="34" spans="2:24" s="13" customFormat="1" ht="12.75">
      <c r="B34" s="12" t="s">
        <v>51</v>
      </c>
      <c r="C34" s="7">
        <v>1988</v>
      </c>
      <c r="D34" s="7">
        <f aca="true" t="shared" si="14" ref="D34:M34">C34+1</f>
        <v>1989</v>
      </c>
      <c r="E34" s="7">
        <f t="shared" si="14"/>
        <v>1990</v>
      </c>
      <c r="F34" s="7">
        <f t="shared" si="14"/>
        <v>1991</v>
      </c>
      <c r="G34" s="7">
        <f t="shared" si="14"/>
        <v>1992</v>
      </c>
      <c r="H34" s="7">
        <f t="shared" si="14"/>
        <v>1993</v>
      </c>
      <c r="I34" s="7">
        <f t="shared" si="14"/>
        <v>1994</v>
      </c>
      <c r="J34" s="7">
        <f t="shared" si="14"/>
        <v>1995</v>
      </c>
      <c r="K34" s="7">
        <f t="shared" si="14"/>
        <v>1996</v>
      </c>
      <c r="L34" s="7">
        <f t="shared" si="14"/>
        <v>1997</v>
      </c>
      <c r="M34" s="13">
        <f t="shared" si="14"/>
        <v>1998</v>
      </c>
      <c r="N34" s="7"/>
      <c r="R34"/>
      <c r="S34"/>
      <c r="T34"/>
      <c r="U34"/>
      <c r="V34"/>
      <c r="W34"/>
      <c r="X34"/>
    </row>
    <row r="35" spans="1:24" s="13" customFormat="1" ht="12.75">
      <c r="A35" s="20">
        <v>1</v>
      </c>
      <c r="B35" s="8" t="s">
        <v>26</v>
      </c>
      <c r="C35" s="1"/>
      <c r="D35" s="10">
        <v>0.085</v>
      </c>
      <c r="E35" s="10">
        <v>0.085</v>
      </c>
      <c r="F35" s="10">
        <v>0.085</v>
      </c>
      <c r="G35" s="10">
        <v>0.085</v>
      </c>
      <c r="H35" s="10">
        <v>0.085</v>
      </c>
      <c r="I35" s="10">
        <v>0.085</v>
      </c>
      <c r="J35" s="10">
        <v>0.085</v>
      </c>
      <c r="K35" s="10">
        <v>0.085</v>
      </c>
      <c r="L35" s="10">
        <v>0.085</v>
      </c>
      <c r="M35" s="10">
        <v>0.085</v>
      </c>
      <c r="N35" s="8"/>
      <c r="R35"/>
      <c r="S35"/>
      <c r="T35"/>
      <c r="U35"/>
      <c r="V35"/>
      <c r="W35"/>
      <c r="X35"/>
    </row>
    <row r="36" spans="1:24" s="13" customFormat="1" ht="12.75">
      <c r="A36" s="20">
        <f>A35+1</f>
        <v>2</v>
      </c>
      <c r="B36" s="8" t="s">
        <v>27</v>
      </c>
      <c r="C36" s="1"/>
      <c r="D36" s="10">
        <v>0.08</v>
      </c>
      <c r="E36" s="10">
        <v>0.08</v>
      </c>
      <c r="F36" s="10">
        <v>0.08</v>
      </c>
      <c r="G36" s="10">
        <v>0.08</v>
      </c>
      <c r="H36" s="10">
        <v>0.08</v>
      </c>
      <c r="I36" s="10">
        <v>0.08</v>
      </c>
      <c r="J36" s="10">
        <v>0.08</v>
      </c>
      <c r="K36" s="10">
        <v>0.08</v>
      </c>
      <c r="L36" s="10">
        <v>0.08</v>
      </c>
      <c r="M36" s="10">
        <v>0.08</v>
      </c>
      <c r="N36" s="8"/>
      <c r="R36"/>
      <c r="S36"/>
      <c r="T36"/>
      <c r="U36"/>
      <c r="V36"/>
      <c r="W36"/>
      <c r="X36"/>
    </row>
    <row r="37" spans="1:24" s="13" customFormat="1" ht="12.75">
      <c r="A37" s="20">
        <f aca="true" t="shared" si="15" ref="A37:A42">A36+1</f>
        <v>3</v>
      </c>
      <c r="B37" s="8" t="s">
        <v>28</v>
      </c>
      <c r="C37" s="1"/>
      <c r="D37" s="15">
        <v>0.65</v>
      </c>
      <c r="E37" s="15">
        <v>0.65</v>
      </c>
      <c r="F37" s="15">
        <v>0.65</v>
      </c>
      <c r="G37" s="15">
        <v>0.65</v>
      </c>
      <c r="H37" s="15">
        <v>0.65</v>
      </c>
      <c r="I37" s="15">
        <v>0.65</v>
      </c>
      <c r="J37" s="15">
        <v>0.65</v>
      </c>
      <c r="K37" s="15">
        <v>0.65</v>
      </c>
      <c r="L37" s="15">
        <v>0.65</v>
      </c>
      <c r="M37" s="15">
        <v>0.65</v>
      </c>
      <c r="N37" s="8"/>
      <c r="R37"/>
      <c r="S37"/>
      <c r="T37"/>
      <c r="U37"/>
      <c r="V37"/>
      <c r="W37"/>
      <c r="X37"/>
    </row>
    <row r="38" spans="1:24" s="13" customFormat="1" ht="12.75">
      <c r="A38" s="20">
        <f t="shared" si="15"/>
        <v>4</v>
      </c>
      <c r="B38" s="8" t="s">
        <v>29</v>
      </c>
      <c r="C38" s="1"/>
      <c r="D38" s="15">
        <f>(D50-D35)/D36</f>
        <v>0.3354631053036126</v>
      </c>
      <c r="E38" s="15">
        <f aca="true" t="shared" si="16" ref="E38:L38">(E50-E35)/E36</f>
        <v>0.31249999999999994</v>
      </c>
      <c r="F38" s="15">
        <f t="shared" si="16"/>
        <v>0.31249999999999994</v>
      </c>
      <c r="G38" s="15">
        <f t="shared" si="16"/>
        <v>0.31249999999999994</v>
      </c>
      <c r="H38" s="15">
        <f t="shared" si="16"/>
        <v>0.31249999999999994</v>
      </c>
      <c r="I38" s="15">
        <f t="shared" si="16"/>
        <v>0.31249999999999994</v>
      </c>
      <c r="J38" s="15">
        <f t="shared" si="16"/>
        <v>0.3124999999999998</v>
      </c>
      <c r="K38" s="15">
        <f t="shared" si="16"/>
        <v>0.31249999999999994</v>
      </c>
      <c r="L38" s="15">
        <f t="shared" si="16"/>
        <v>0.31249999999999994</v>
      </c>
      <c r="M38" s="15"/>
      <c r="N38" s="8"/>
      <c r="R38"/>
      <c r="S38"/>
      <c r="T38"/>
      <c r="U38"/>
      <c r="V38"/>
      <c r="W38"/>
      <c r="X38"/>
    </row>
    <row r="39" spans="1:24" s="13" customFormat="1" ht="12.75">
      <c r="A39" s="20">
        <f t="shared" si="15"/>
        <v>5</v>
      </c>
      <c r="B39" s="8" t="s">
        <v>30</v>
      </c>
      <c r="C39" s="1"/>
      <c r="D39" s="15">
        <f aca="true" t="shared" si="17" ref="D39:M39">(D37*(C43+C45*0.66))/C43</f>
        <v>0.7625257372742125</v>
      </c>
      <c r="E39" s="15">
        <f t="shared" si="17"/>
        <v>0.7706135580739419</v>
      </c>
      <c r="F39" s="15">
        <f t="shared" si="17"/>
        <v>0.7659218742350721</v>
      </c>
      <c r="G39" s="15">
        <f t="shared" si="17"/>
        <v>0.7561393496756469</v>
      </c>
      <c r="H39" s="15">
        <f t="shared" si="17"/>
        <v>0.7441376695481523</v>
      </c>
      <c r="I39" s="15">
        <f t="shared" si="17"/>
        <v>0.729251966867742</v>
      </c>
      <c r="J39" s="15">
        <f t="shared" si="17"/>
        <v>0.7061907780972413</v>
      </c>
      <c r="K39" s="15">
        <f t="shared" si="17"/>
        <v>0.6977750277367241</v>
      </c>
      <c r="L39" s="15">
        <f t="shared" si="17"/>
        <v>0.6781064898556107</v>
      </c>
      <c r="M39" s="15">
        <f t="shared" si="17"/>
        <v>0.65</v>
      </c>
      <c r="N39" s="8"/>
      <c r="R39"/>
      <c r="S39"/>
      <c r="T39"/>
      <c r="U39"/>
      <c r="V39"/>
      <c r="W39"/>
      <c r="X39"/>
    </row>
    <row r="40" spans="1:24" s="13" customFormat="1" ht="12.75">
      <c r="A40" s="20">
        <f t="shared" si="15"/>
        <v>6</v>
      </c>
      <c r="B40" s="8" t="s">
        <v>31</v>
      </c>
      <c r="C40" s="1"/>
      <c r="D40" s="16">
        <f aca="true" t="shared" si="18" ref="D40:M40">D35+D36*D39</f>
        <v>0.14600205898193702</v>
      </c>
      <c r="E40" s="16">
        <f t="shared" si="18"/>
        <v>0.14664908464591536</v>
      </c>
      <c r="F40" s="16">
        <f t="shared" si="18"/>
        <v>0.14627374993880576</v>
      </c>
      <c r="G40" s="16">
        <f t="shared" si="18"/>
        <v>0.14549114797405177</v>
      </c>
      <c r="H40" s="16">
        <f t="shared" si="18"/>
        <v>0.1445310135638522</v>
      </c>
      <c r="I40" s="16">
        <f t="shared" si="18"/>
        <v>0.14334015734941935</v>
      </c>
      <c r="J40" s="16">
        <f t="shared" si="18"/>
        <v>0.1414952622477793</v>
      </c>
      <c r="K40" s="16">
        <f t="shared" si="18"/>
        <v>0.14082200221893793</v>
      </c>
      <c r="L40" s="16">
        <f t="shared" si="18"/>
        <v>0.13924851918844888</v>
      </c>
      <c r="M40" s="16">
        <f t="shared" si="18"/>
        <v>0.137</v>
      </c>
      <c r="N40" s="8"/>
      <c r="R40"/>
      <c r="S40"/>
      <c r="T40"/>
      <c r="U40"/>
      <c r="V40"/>
      <c r="W40"/>
      <c r="X40"/>
    </row>
    <row r="41" spans="1:24" s="13" customFormat="1" ht="12.75" hidden="1">
      <c r="A41" s="20">
        <f t="shared" si="15"/>
        <v>7</v>
      </c>
      <c r="B41" s="8" t="s">
        <v>32</v>
      </c>
      <c r="C41" s="1"/>
      <c r="D41" s="1">
        <f>(1+D40)</f>
        <v>1.146002058981937</v>
      </c>
      <c r="E41" s="1">
        <f aca="true" t="shared" si="19" ref="E41:M41">(1+E40)*D41</f>
        <v>1.3140622119339724</v>
      </c>
      <c r="F41" s="1">
        <f t="shared" si="19"/>
        <v>1.5062750193264365</v>
      </c>
      <c r="G41" s="1">
        <f t="shared" si="19"/>
        <v>1.7254247010528767</v>
      </c>
      <c r="H41" s="1">
        <f t="shared" si="19"/>
        <v>1.9748020819241556</v>
      </c>
      <c r="I41" s="1">
        <f t="shared" si="19"/>
        <v>2.257870523081125</v>
      </c>
      <c r="J41" s="1">
        <f t="shared" si="19"/>
        <v>2.57734850486602</v>
      </c>
      <c r="K41" s="1">
        <f t="shared" si="19"/>
        <v>2.9402958817372387</v>
      </c>
      <c r="L41" s="1">
        <f t="shared" si="19"/>
        <v>3.349727729245044</v>
      </c>
      <c r="M41" s="1">
        <f t="shared" si="19"/>
        <v>3.808640428151615</v>
      </c>
      <c r="N41" s="8"/>
      <c r="R41"/>
      <c r="S41"/>
      <c r="T41"/>
      <c r="U41"/>
      <c r="V41"/>
      <c r="W41"/>
      <c r="X41"/>
    </row>
    <row r="42" spans="1:24" s="13" customFormat="1" ht="12.75" hidden="1">
      <c r="A42" s="20">
        <f t="shared" si="15"/>
        <v>8</v>
      </c>
      <c r="B42" s="8" t="s">
        <v>33</v>
      </c>
      <c r="C42" s="1"/>
      <c r="D42" s="1">
        <f aca="true" t="shared" si="20" ref="D42:L42">D28/D41</f>
        <v>1161.5876321935996</v>
      </c>
      <c r="E42" s="1">
        <f t="shared" si="20"/>
        <v>935.8903791991672</v>
      </c>
      <c r="F42" s="1">
        <f t="shared" si="20"/>
        <v>910.6751789196309</v>
      </c>
      <c r="G42" s="1">
        <f t="shared" si="20"/>
        <v>1032.8418898856924</v>
      </c>
      <c r="H42" s="1">
        <f t="shared" si="20"/>
        <v>997.1540116380364</v>
      </c>
      <c r="I42" s="1">
        <f t="shared" si="20"/>
        <v>723.0867965840854</v>
      </c>
      <c r="J42" s="1">
        <f t="shared" si="20"/>
        <v>1092.842647518785</v>
      </c>
      <c r="K42" s="1">
        <f t="shared" si="20"/>
        <v>763.2812538399113</v>
      </c>
      <c r="L42" s="1">
        <f t="shared" si="20"/>
        <v>513.6102646295669</v>
      </c>
      <c r="M42" s="1">
        <f>(M28+N42)/M41</f>
        <v>11709.077690043201</v>
      </c>
      <c r="N42" s="8">
        <f>M28*1.02/(M40-0.02)</f>
        <v>40006.666666666664</v>
      </c>
      <c r="R42"/>
      <c r="S42"/>
      <c r="T42"/>
      <c r="U42"/>
      <c r="V42"/>
      <c r="W42"/>
      <c r="X42"/>
    </row>
    <row r="43" spans="1:24" s="13" customFormat="1" ht="12.75">
      <c r="A43" s="20">
        <v>7</v>
      </c>
      <c r="B43" s="6" t="s">
        <v>53</v>
      </c>
      <c r="C43" s="17">
        <f>SUM(D42:M42)</f>
        <v>19840.047744451676</v>
      </c>
      <c r="D43" s="5">
        <f aca="true" t="shared" si="21" ref="D43:M43">C43*(1+D40)-D28</f>
        <v>21405.553747259743</v>
      </c>
      <c r="E43" s="5">
        <f t="shared" si="21"/>
        <v>23314.840428816147</v>
      </c>
      <c r="F43" s="5">
        <f t="shared" si="21"/>
        <v>25353.46229483669</v>
      </c>
      <c r="G43" s="5">
        <f t="shared" si="21"/>
        <v>27260.075720138408</v>
      </c>
      <c r="H43" s="5">
        <f t="shared" si="21"/>
        <v>29230.82027561555</v>
      </c>
      <c r="I43" s="5">
        <f t="shared" si="21"/>
        <v>31788.134289738515</v>
      </c>
      <c r="J43" s="5">
        <f t="shared" si="21"/>
        <v>33469.368323796334</v>
      </c>
      <c r="K43" s="5">
        <f t="shared" si="21"/>
        <v>35938.3190568837</v>
      </c>
      <c r="L43" s="5">
        <f t="shared" si="21"/>
        <v>39222.222222222226</v>
      </c>
      <c r="M43" s="5">
        <f t="shared" si="21"/>
        <v>40006.66666666667</v>
      </c>
      <c r="N43" s="8"/>
      <c r="R43"/>
      <c r="S43"/>
      <c r="T43"/>
      <c r="U43"/>
      <c r="V43"/>
      <c r="W43"/>
      <c r="X43"/>
    </row>
    <row r="44" spans="1:24" s="13" customFormat="1" ht="12.75">
      <c r="A44" s="20"/>
      <c r="B44"/>
      <c r="C44"/>
      <c r="D44"/>
      <c r="E44"/>
      <c r="F44"/>
      <c r="G44"/>
      <c r="H44"/>
      <c r="I44"/>
      <c r="J44"/>
      <c r="K44"/>
      <c r="L44"/>
      <c r="M44"/>
      <c r="N44"/>
      <c r="R44"/>
      <c r="S44"/>
      <c r="T44"/>
      <c r="U44"/>
      <c r="V44"/>
      <c r="W44"/>
      <c r="X44"/>
    </row>
    <row r="45" spans="1:24" s="13" customFormat="1" ht="13.5" thickBot="1">
      <c r="A45" s="20">
        <v>8</v>
      </c>
      <c r="B45" s="8" t="s">
        <v>34</v>
      </c>
      <c r="C45" s="1">
        <f aca="true" t="shared" si="22" ref="C45:M45">C8</f>
        <v>5204</v>
      </c>
      <c r="D45" s="1">
        <f t="shared" si="22"/>
        <v>6018.181818181818</v>
      </c>
      <c r="E45" s="1">
        <f t="shared" si="22"/>
        <v>6300</v>
      </c>
      <c r="F45" s="1">
        <f t="shared" si="22"/>
        <v>6272.727272727273</v>
      </c>
      <c r="G45" s="1">
        <f t="shared" si="22"/>
        <v>5981.818181818182</v>
      </c>
      <c r="H45" s="1">
        <f t="shared" si="22"/>
        <v>5400</v>
      </c>
      <c r="I45" s="1">
        <f t="shared" si="22"/>
        <v>4163.636363636364</v>
      </c>
      <c r="J45" s="1">
        <f t="shared" si="22"/>
        <v>3727.2727272727275</v>
      </c>
      <c r="K45" s="1">
        <f t="shared" si="22"/>
        <v>2354.5454545454545</v>
      </c>
      <c r="L45" s="1">
        <f t="shared" si="22"/>
        <v>0</v>
      </c>
      <c r="M45" s="1">
        <f t="shared" si="22"/>
        <v>0</v>
      </c>
      <c r="N45" s="8"/>
      <c r="R45"/>
      <c r="S45"/>
      <c r="T45"/>
      <c r="U45"/>
      <c r="V45"/>
      <c r="W45"/>
      <c r="X45"/>
    </row>
    <row r="46" spans="1:24" s="13" customFormat="1" ht="12.75">
      <c r="A46" s="20">
        <v>9</v>
      </c>
      <c r="B46" s="6" t="s">
        <v>35</v>
      </c>
      <c r="C46" s="19">
        <f aca="true" t="shared" si="23" ref="C46:M46">C43+C45</f>
        <v>25044.047744451676</v>
      </c>
      <c r="D46" s="5">
        <f t="shared" si="23"/>
        <v>27423.73556544156</v>
      </c>
      <c r="E46" s="5">
        <f t="shared" si="23"/>
        <v>29614.840428816147</v>
      </c>
      <c r="F46" s="5">
        <f t="shared" si="23"/>
        <v>31626.18956756396</v>
      </c>
      <c r="G46" s="5">
        <f t="shared" si="23"/>
        <v>33241.89390195659</v>
      </c>
      <c r="H46" s="5">
        <f t="shared" si="23"/>
        <v>34630.82027561555</v>
      </c>
      <c r="I46" s="5">
        <f t="shared" si="23"/>
        <v>35951.77065337488</v>
      </c>
      <c r="J46" s="5">
        <f t="shared" si="23"/>
        <v>37196.64105106906</v>
      </c>
      <c r="K46" s="5">
        <f t="shared" si="23"/>
        <v>38292.86451142916</v>
      </c>
      <c r="L46" s="5">
        <f t="shared" si="23"/>
        <v>39222.222222222226</v>
      </c>
      <c r="M46" s="5">
        <f t="shared" si="23"/>
        <v>40006.66666666667</v>
      </c>
      <c r="N46" s="8"/>
      <c r="R46"/>
      <c r="S46"/>
      <c r="T46"/>
      <c r="U46"/>
      <c r="V46"/>
      <c r="W46"/>
      <c r="X46"/>
    </row>
    <row r="47" spans="1:24" s="13" customFormat="1" ht="12.75">
      <c r="A47" s="20"/>
      <c r="B47" s="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8"/>
      <c r="R47"/>
      <c r="S47"/>
      <c r="T47"/>
      <c r="U47"/>
      <c r="V47"/>
      <c r="W47"/>
      <c r="X47"/>
    </row>
    <row r="48" spans="1:24" s="13" customFormat="1" ht="12.75" hidden="1">
      <c r="A48" s="20"/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8"/>
      <c r="R48"/>
      <c r="S48"/>
      <c r="T48"/>
      <c r="U48"/>
      <c r="V48"/>
      <c r="W48"/>
      <c r="X48"/>
    </row>
    <row r="49" spans="1:24" s="13" customFormat="1" ht="12.75" hidden="1">
      <c r="A49" s="20"/>
      <c r="B49" s="12" t="s">
        <v>25</v>
      </c>
      <c r="C49" s="7">
        <v>1988</v>
      </c>
      <c r="D49" s="7">
        <f aca="true" t="shared" si="24" ref="D49:M49">C49+1</f>
        <v>1989</v>
      </c>
      <c r="E49" s="7">
        <f t="shared" si="24"/>
        <v>1990</v>
      </c>
      <c r="F49" s="7">
        <f t="shared" si="24"/>
        <v>1991</v>
      </c>
      <c r="G49" s="7">
        <f t="shared" si="24"/>
        <v>1992</v>
      </c>
      <c r="H49" s="7">
        <f t="shared" si="24"/>
        <v>1993</v>
      </c>
      <c r="I49" s="7">
        <f t="shared" si="24"/>
        <v>1994</v>
      </c>
      <c r="J49" s="7">
        <f t="shared" si="24"/>
        <v>1995</v>
      </c>
      <c r="K49" s="7">
        <f t="shared" si="24"/>
        <v>1996</v>
      </c>
      <c r="L49" s="7">
        <f t="shared" si="24"/>
        <v>1997</v>
      </c>
      <c r="M49" s="13">
        <f t="shared" si="24"/>
        <v>1998</v>
      </c>
      <c r="N49" s="7"/>
      <c r="R49"/>
      <c r="S49"/>
      <c r="T49"/>
      <c r="U49"/>
      <c r="V49"/>
      <c r="W49"/>
      <c r="X49"/>
    </row>
    <row r="50" spans="1:24" s="13" customFormat="1" ht="12.75">
      <c r="A50" s="20">
        <v>10</v>
      </c>
      <c r="B50" s="8" t="s">
        <v>36</v>
      </c>
      <c r="C50" s="1"/>
      <c r="D50" s="16">
        <f aca="true" t="shared" si="25" ref="D50:L50">D21/C8</f>
        <v>0.11183704842428902</v>
      </c>
      <c r="E50" s="16">
        <f t="shared" si="25"/>
        <v>0.11</v>
      </c>
      <c r="F50" s="16">
        <f t="shared" si="25"/>
        <v>0.11</v>
      </c>
      <c r="G50" s="16">
        <f t="shared" si="25"/>
        <v>0.11</v>
      </c>
      <c r="H50" s="16">
        <f t="shared" si="25"/>
        <v>0.11</v>
      </c>
      <c r="I50" s="16">
        <f t="shared" si="25"/>
        <v>0.11</v>
      </c>
      <c r="J50" s="16">
        <f t="shared" si="25"/>
        <v>0.10999999999999999</v>
      </c>
      <c r="K50" s="16">
        <f t="shared" si="25"/>
        <v>0.11</v>
      </c>
      <c r="L50" s="16">
        <f t="shared" si="25"/>
        <v>0.11</v>
      </c>
      <c r="M50" s="16">
        <v>0</v>
      </c>
      <c r="N50" s="8"/>
      <c r="R50"/>
      <c r="S50"/>
      <c r="T50"/>
      <c r="U50"/>
      <c r="V50"/>
      <c r="W50"/>
      <c r="X50"/>
    </row>
    <row r="51" spans="1:24" s="13" customFormat="1" ht="13.5" thickBot="1">
      <c r="A51" s="20">
        <v>11</v>
      </c>
      <c r="B51" s="8" t="s">
        <v>37</v>
      </c>
      <c r="C51" s="1"/>
      <c r="D51" s="16">
        <f aca="true" t="shared" si="26" ref="D51:M51">(D40*C43+D50*0.66*(C45))/(C46)</f>
        <v>0.13100150001577596</v>
      </c>
      <c r="E51" s="16">
        <f t="shared" si="26"/>
        <v>0.13039889678198938</v>
      </c>
      <c r="F51" s="16">
        <f t="shared" si="26"/>
        <v>0.13060104605474737</v>
      </c>
      <c r="G51" s="16">
        <f t="shared" si="26"/>
        <v>0.13103394342019783</v>
      </c>
      <c r="H51" s="16">
        <f t="shared" si="26"/>
        <v>0.13158715885924602</v>
      </c>
      <c r="I51" s="16">
        <f t="shared" si="26"/>
        <v>0.1323096115336785</v>
      </c>
      <c r="J51" s="16">
        <f t="shared" si="26"/>
        <v>0.13351638348982334</v>
      </c>
      <c r="K51" s="16">
        <f t="shared" si="26"/>
        <v>0.1339858470961818</v>
      </c>
      <c r="L51" s="16">
        <f t="shared" si="26"/>
        <v>0.13515044582910252</v>
      </c>
      <c r="M51" s="16">
        <f t="shared" si="26"/>
        <v>0.137</v>
      </c>
      <c r="N51" s="8"/>
      <c r="R51"/>
      <c r="S51"/>
      <c r="T51"/>
      <c r="U51"/>
      <c r="V51"/>
      <c r="W51"/>
      <c r="X51"/>
    </row>
    <row r="52" spans="1:24" s="13" customFormat="1" ht="13.5" hidden="1" thickBot="1">
      <c r="A52" s="20"/>
      <c r="B52" s="8" t="s">
        <v>38</v>
      </c>
      <c r="C52" s="1"/>
      <c r="D52" s="1">
        <f>(1+D51)</f>
        <v>1.131001500015776</v>
      </c>
      <c r="E52" s="1">
        <f aca="true" t="shared" si="27" ref="E52:M52">(1+E51)*D52</f>
        <v>1.2784828478766084</v>
      </c>
      <c r="F52" s="1">
        <f t="shared" si="27"/>
        <v>1.4454540451723459</v>
      </c>
      <c r="G52" s="1">
        <f t="shared" si="27"/>
        <v>1.6348575887439551</v>
      </c>
      <c r="H52" s="1">
        <f t="shared" si="27"/>
        <v>1.84998385398625</v>
      </c>
      <c r="I52" s="1">
        <f t="shared" si="27"/>
        <v>2.0947544990507483</v>
      </c>
      <c r="J52" s="1">
        <f t="shared" si="27"/>
        <v>2.374438544063041</v>
      </c>
      <c r="K52" s="1">
        <f t="shared" si="27"/>
        <v>2.6925797037671524</v>
      </c>
      <c r="L52" s="1">
        <f t="shared" si="27"/>
        <v>3.0564830511616754</v>
      </c>
      <c r="M52" s="1">
        <f t="shared" si="27"/>
        <v>3.475221229170825</v>
      </c>
      <c r="N52" s="8"/>
      <c r="R52"/>
      <c r="S52"/>
      <c r="T52"/>
      <c r="U52"/>
      <c r="V52"/>
      <c r="W52"/>
      <c r="X52"/>
    </row>
    <row r="53" spans="1:24" s="13" customFormat="1" ht="13.5" hidden="1" thickBot="1">
      <c r="A53" s="20"/>
      <c r="B53" s="8" t="s">
        <v>39</v>
      </c>
      <c r="C53" s="1"/>
      <c r="D53" s="1">
        <f aca="true" t="shared" si="28" ref="D53:L53">D31/D52</f>
        <v>796.7451855611425</v>
      </c>
      <c r="E53" s="1">
        <f t="shared" si="28"/>
        <v>1083.2527024513233</v>
      </c>
      <c r="F53" s="1">
        <f t="shared" si="28"/>
        <v>1284.2884948159374</v>
      </c>
      <c r="G53" s="1">
        <f t="shared" si="28"/>
        <v>1546.5567260464227</v>
      </c>
      <c r="H53" s="1">
        <f t="shared" si="28"/>
        <v>1613.6789483689126</v>
      </c>
      <c r="I53" s="1">
        <f t="shared" si="28"/>
        <v>1556.7647671733187</v>
      </c>
      <c r="J53" s="1">
        <f t="shared" si="28"/>
        <v>1497.31396876516</v>
      </c>
      <c r="K53" s="1">
        <f t="shared" si="28"/>
        <v>1443.8198410843365</v>
      </c>
      <c r="L53" s="1">
        <f t="shared" si="28"/>
        <v>1389.1586928271197</v>
      </c>
      <c r="M53" s="1">
        <f>(M31+N53)/M52</f>
        <v>12832.468417358</v>
      </c>
      <c r="N53" s="8">
        <f>M31*1.02/(M51-0.02)</f>
        <v>40006.666666666664</v>
      </c>
      <c r="R53"/>
      <c r="S53"/>
      <c r="T53"/>
      <c r="U53"/>
      <c r="V53"/>
      <c r="W53"/>
      <c r="X53"/>
    </row>
    <row r="54" spans="1:24" s="13" customFormat="1" ht="13.5" thickBot="1">
      <c r="A54" s="20">
        <v>12</v>
      </c>
      <c r="B54" s="6" t="s">
        <v>47</v>
      </c>
      <c r="C54" s="22">
        <f>SUM(D53:M53)</f>
        <v>25044.047744451673</v>
      </c>
      <c r="D54" s="5">
        <f aca="true" t="shared" si="29" ref="D54:M54">C54*(1+D51)-D31</f>
        <v>27423.735565441555</v>
      </c>
      <c r="E54" s="5">
        <f t="shared" si="29"/>
        <v>29614.84042881614</v>
      </c>
      <c r="F54" s="5">
        <f t="shared" si="29"/>
        <v>31626.18956756395</v>
      </c>
      <c r="G54" s="5">
        <f t="shared" si="29"/>
        <v>33241.89390195657</v>
      </c>
      <c r="H54" s="5">
        <f t="shared" si="29"/>
        <v>34630.82027561554</v>
      </c>
      <c r="I54" s="5">
        <f t="shared" si="29"/>
        <v>35951.77065337487</v>
      </c>
      <c r="J54" s="5">
        <f t="shared" si="29"/>
        <v>37196.641051069055</v>
      </c>
      <c r="K54" s="5">
        <f t="shared" si="29"/>
        <v>38292.86451142916</v>
      </c>
      <c r="L54" s="5">
        <f t="shared" si="29"/>
        <v>39222.22222222222</v>
      </c>
      <c r="M54" s="5">
        <f t="shared" si="29"/>
        <v>40006.666666666664</v>
      </c>
      <c r="N54" s="6"/>
      <c r="R54"/>
      <c r="S54"/>
      <c r="T54"/>
      <c r="U54"/>
      <c r="V54"/>
      <c r="W54"/>
      <c r="X54"/>
    </row>
    <row r="55" spans="1:24" s="13" customFormat="1" ht="12.75" hidden="1">
      <c r="A55" s="20"/>
      <c r="B55" s="8"/>
      <c r="C55" s="1">
        <f aca="true" t="shared" si="30" ref="C55:M55">C46-C54</f>
        <v>0</v>
      </c>
      <c r="D55" s="1">
        <f t="shared" si="30"/>
        <v>0</v>
      </c>
      <c r="E55" s="1">
        <f t="shared" si="30"/>
        <v>0</v>
      </c>
      <c r="F55" s="1">
        <f t="shared" si="30"/>
        <v>0</v>
      </c>
      <c r="G55" s="1">
        <f t="shared" si="30"/>
        <v>0</v>
      </c>
      <c r="H55" s="1">
        <f t="shared" si="30"/>
        <v>0</v>
      </c>
      <c r="I55" s="1">
        <f t="shared" si="30"/>
        <v>0</v>
      </c>
      <c r="J55" s="1">
        <f t="shared" si="30"/>
        <v>0</v>
      </c>
      <c r="K55" s="1">
        <f t="shared" si="30"/>
        <v>0</v>
      </c>
      <c r="L55" s="1">
        <f t="shared" si="30"/>
        <v>0</v>
      </c>
      <c r="M55" s="1">
        <f t="shared" si="30"/>
        <v>0</v>
      </c>
      <c r="N55" s="8"/>
      <c r="R55"/>
      <c r="S55"/>
      <c r="T55"/>
      <c r="U55"/>
      <c r="V55"/>
      <c r="W55"/>
      <c r="X55"/>
    </row>
    <row r="56" spans="1:24" s="13" customFormat="1" ht="12.75" hidden="1">
      <c r="A56" s="20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R56"/>
      <c r="S56"/>
      <c r="T56"/>
      <c r="U56"/>
      <c r="V56"/>
      <c r="W56"/>
      <c r="X56"/>
    </row>
    <row r="57" spans="1:24" s="13" customFormat="1" ht="12.75">
      <c r="A57" s="20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R57"/>
      <c r="S57"/>
      <c r="T57"/>
      <c r="U57"/>
      <c r="V57"/>
      <c r="W57"/>
      <c r="X57"/>
    </row>
    <row r="58" spans="1:24" s="20" customFormat="1" ht="12.75">
      <c r="A58" s="20">
        <v>13</v>
      </c>
      <c r="B58" s="20" t="s">
        <v>40</v>
      </c>
      <c r="C58" s="18"/>
      <c r="D58" s="21">
        <f>D35+D36*D37</f>
        <v>0.137</v>
      </c>
      <c r="E58" s="21">
        <f aca="true" t="shared" si="31" ref="E58:M58">E35+E36*E37</f>
        <v>0.137</v>
      </c>
      <c r="F58" s="21">
        <f t="shared" si="31"/>
        <v>0.137</v>
      </c>
      <c r="G58" s="21">
        <f t="shared" si="31"/>
        <v>0.137</v>
      </c>
      <c r="H58" s="21">
        <f t="shared" si="31"/>
        <v>0.137</v>
      </c>
      <c r="I58" s="21">
        <f t="shared" si="31"/>
        <v>0.137</v>
      </c>
      <c r="J58" s="21">
        <f t="shared" si="31"/>
        <v>0.137</v>
      </c>
      <c r="K58" s="21">
        <f t="shared" si="31"/>
        <v>0.137</v>
      </c>
      <c r="L58" s="21">
        <f t="shared" si="31"/>
        <v>0.137</v>
      </c>
      <c r="M58" s="21">
        <f t="shared" si="31"/>
        <v>0.137</v>
      </c>
      <c r="N58" s="24">
        <f>M58</f>
        <v>0.137</v>
      </c>
      <c r="R58"/>
      <c r="S58"/>
      <c r="T58"/>
      <c r="U58"/>
      <c r="V58"/>
      <c r="W58"/>
      <c r="X58"/>
    </row>
    <row r="59" spans="1:24" s="20" customFormat="1" ht="12.75">
      <c r="A59" s="20">
        <v>14</v>
      </c>
      <c r="B59" s="20" t="s">
        <v>24</v>
      </c>
      <c r="C59" s="18"/>
      <c r="D59" s="23">
        <f aca="true" t="shared" si="32" ref="D59:M59">D31</f>
        <v>901.12</v>
      </c>
      <c r="E59" s="23">
        <f t="shared" si="32"/>
        <v>1384.92</v>
      </c>
      <c r="F59" s="23">
        <f t="shared" si="32"/>
        <v>1856.38</v>
      </c>
      <c r="G59" s="23">
        <f t="shared" si="32"/>
        <v>2528.4</v>
      </c>
      <c r="H59" s="23">
        <f t="shared" si="32"/>
        <v>2985.28</v>
      </c>
      <c r="I59" s="23">
        <f t="shared" si="32"/>
        <v>3261.04</v>
      </c>
      <c r="J59" s="23">
        <f t="shared" si="32"/>
        <v>3555.28</v>
      </c>
      <c r="K59" s="23">
        <f t="shared" si="32"/>
        <v>3887.6</v>
      </c>
      <c r="L59" s="23">
        <f t="shared" si="32"/>
        <v>4245.94</v>
      </c>
      <c r="M59" s="23">
        <f t="shared" si="32"/>
        <v>4589</v>
      </c>
      <c r="N59" s="20">
        <f>M59*1.02/(M58-0.02)*(1+M58)</f>
        <v>45487.579999999994</v>
      </c>
      <c r="R59"/>
      <c r="S59"/>
      <c r="T59"/>
      <c r="U59"/>
      <c r="V59"/>
      <c r="W59"/>
      <c r="X59"/>
    </row>
    <row r="60" spans="1:24" s="20" customFormat="1" ht="12.75">
      <c r="A60" s="20">
        <v>15</v>
      </c>
      <c r="B60" s="6" t="s">
        <v>48</v>
      </c>
      <c r="C60" s="17">
        <f>NPV(D58,D59:$N59)</f>
        <v>24246.769380693888</v>
      </c>
      <c r="D60" s="5">
        <f>NPV(E58,E59:$N59)</f>
        <v>26667.45678584895</v>
      </c>
      <c r="E60" s="5">
        <f>NPV(F58,F59:$N59)</f>
        <v>28935.978365510255</v>
      </c>
      <c r="F60" s="5">
        <f>NPV(G58,G59:$N59)</f>
        <v>31043.827401585157</v>
      </c>
      <c r="G60" s="5">
        <f>NPV(H58,H59:$N59)</f>
        <v>32768.43175560233</v>
      </c>
      <c r="H60" s="5">
        <f>NPV(I58,I59:$N59)</f>
        <v>34272.42690611984</v>
      </c>
      <c r="I60" s="5">
        <f>NPV(J58,J59:$N59)</f>
        <v>35706.70939225827</v>
      </c>
      <c r="J60" s="5">
        <f>NPV(K58,K59:$N59)</f>
        <v>37043.24857899765</v>
      </c>
      <c r="K60" s="5">
        <f>NPV(L58,L59:$N59)</f>
        <v>38230.57363432033</v>
      </c>
      <c r="L60" s="5">
        <f>NPV(M58,M59:$N59)</f>
        <v>39222.22222222222</v>
      </c>
      <c r="M60" s="5">
        <f>NPV(N58,N59:$N59)</f>
        <v>40006.666666666664</v>
      </c>
      <c r="R60"/>
      <c r="S60"/>
      <c r="T60"/>
      <c r="U60"/>
      <c r="V60"/>
      <c r="W60"/>
      <c r="X60"/>
    </row>
    <row r="61" spans="1:24" s="13" customFormat="1" ht="12.75" hidden="1">
      <c r="A61" s="20">
        <v>16</v>
      </c>
      <c r="B61" s="6" t="s">
        <v>41</v>
      </c>
      <c r="C61" s="14"/>
      <c r="D61" s="18">
        <f aca="true" t="shared" si="33" ref="D61:M61">C45*0.34*D58</f>
        <v>242.40232000000003</v>
      </c>
      <c r="E61" s="18">
        <f t="shared" si="33"/>
        <v>280.3269090909091</v>
      </c>
      <c r="F61" s="18">
        <f t="shared" si="33"/>
        <v>293.454</v>
      </c>
      <c r="G61" s="18">
        <f t="shared" si="33"/>
        <v>292.1836363636364</v>
      </c>
      <c r="H61" s="18">
        <f t="shared" si="33"/>
        <v>278.633090909091</v>
      </c>
      <c r="I61" s="18">
        <f t="shared" si="33"/>
        <v>251.53200000000004</v>
      </c>
      <c r="J61" s="18">
        <f t="shared" si="33"/>
        <v>193.94218181818184</v>
      </c>
      <c r="K61" s="18">
        <f t="shared" si="33"/>
        <v>173.61636363636367</v>
      </c>
      <c r="L61" s="18">
        <f t="shared" si="33"/>
        <v>109.6747272727273</v>
      </c>
      <c r="M61" s="18">
        <f t="shared" si="33"/>
        <v>0</v>
      </c>
      <c r="N61" s="20">
        <v>0</v>
      </c>
      <c r="R61"/>
      <c r="S61"/>
      <c r="T61"/>
      <c r="U61"/>
      <c r="V61"/>
      <c r="W61"/>
      <c r="X61"/>
    </row>
    <row r="62" spans="1:24" s="13" customFormat="1" ht="12.75" hidden="1">
      <c r="A62" s="20">
        <v>17</v>
      </c>
      <c r="B62" s="6" t="s">
        <v>49</v>
      </c>
      <c r="C62" s="17">
        <f>NPV(D58,D61:$N61)</f>
        <v>1243.2085923618465</v>
      </c>
      <c r="D62" s="5">
        <f>NPV(E58,E61:$N61)</f>
        <v>1171.1258495154193</v>
      </c>
      <c r="E62" s="5">
        <f>NPV(F58,F61:$N61)</f>
        <v>1051.2431818081227</v>
      </c>
      <c r="F62" s="5">
        <f>NPV(G58,G61:$N61)</f>
        <v>901.8094977158356</v>
      </c>
      <c r="G62" s="5">
        <f>NPV(H58,H61:$N61)</f>
        <v>733.1737625392685</v>
      </c>
      <c r="H62" s="5">
        <f>NPV(I58,I61:$N61)</f>
        <v>554.9854770980573</v>
      </c>
      <c r="I62" s="5">
        <f>NPV(J58,J61:$N61)</f>
        <v>379.48648746049116</v>
      </c>
      <c r="J62" s="5">
        <f>NPV(K58,K61:$N61)</f>
        <v>237.5339544243966</v>
      </c>
      <c r="K62" s="5">
        <f>NPV(L58,L61:$N61)</f>
        <v>96.45974254417528</v>
      </c>
      <c r="L62" s="5">
        <f>NPV(M58,M61:$N61)</f>
        <v>0</v>
      </c>
      <c r="M62" s="5">
        <f>NPV(N58,N61:$N61)</f>
        <v>0</v>
      </c>
      <c r="R62"/>
      <c r="S62"/>
      <c r="T62"/>
      <c r="U62"/>
      <c r="V62"/>
      <c r="W62"/>
      <c r="X62"/>
    </row>
    <row r="63" spans="1:24" s="20" customFormat="1" ht="12.75" hidden="1">
      <c r="A63" s="20">
        <v>18</v>
      </c>
      <c r="B63" s="6" t="s">
        <v>42</v>
      </c>
      <c r="C63" s="19">
        <f>C60+C62</f>
        <v>25489.977973055735</v>
      </c>
      <c r="D63" s="5">
        <f aca="true" t="shared" si="34" ref="D63:M63">D60+D62</f>
        <v>27838.582635364368</v>
      </c>
      <c r="E63" s="5">
        <f t="shared" si="34"/>
        <v>29987.22154731838</v>
      </c>
      <c r="F63" s="5">
        <f t="shared" si="34"/>
        <v>31945.636899300993</v>
      </c>
      <c r="G63" s="5">
        <f t="shared" si="34"/>
        <v>33501.6055181416</v>
      </c>
      <c r="H63" s="5">
        <f t="shared" si="34"/>
        <v>34827.4123832179</v>
      </c>
      <c r="I63" s="5">
        <f t="shared" si="34"/>
        <v>36086.19587971876</v>
      </c>
      <c r="J63" s="5">
        <f t="shared" si="34"/>
        <v>37280.78253342205</v>
      </c>
      <c r="K63" s="5">
        <f t="shared" si="34"/>
        <v>38327.03337686451</v>
      </c>
      <c r="L63" s="5">
        <f t="shared" si="34"/>
        <v>39222.22222222222</v>
      </c>
      <c r="M63" s="5">
        <f t="shared" si="34"/>
        <v>40006.666666666664</v>
      </c>
      <c r="R63"/>
      <c r="S63"/>
      <c r="T63"/>
      <c r="U63"/>
      <c r="V63"/>
      <c r="W63"/>
      <c r="X63"/>
    </row>
    <row r="64" spans="1:24" s="13" customFormat="1" ht="12.75">
      <c r="A64" s="20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R64"/>
      <c r="S64"/>
      <c r="T64"/>
      <c r="U64"/>
      <c r="V64"/>
      <c r="W64"/>
      <c r="X64"/>
    </row>
    <row r="65" spans="1:24" s="20" customFormat="1" ht="12.75">
      <c r="A65" s="20">
        <v>19</v>
      </c>
      <c r="B65" s="20" t="s">
        <v>43</v>
      </c>
      <c r="C65" s="18"/>
      <c r="D65" s="18">
        <f>D28+D21+D29</f>
        <v>1099</v>
      </c>
      <c r="E65" s="18">
        <f aca="true" t="shared" si="35" ref="E65:M65">E28+E21+E29</f>
        <v>1610</v>
      </c>
      <c r="F65" s="18">
        <f t="shared" si="35"/>
        <v>2092</v>
      </c>
      <c r="G65" s="18">
        <f t="shared" si="35"/>
        <v>2763</v>
      </c>
      <c r="H65" s="18">
        <f t="shared" si="35"/>
        <v>3209</v>
      </c>
      <c r="I65" s="18">
        <f t="shared" si="35"/>
        <v>3463</v>
      </c>
      <c r="J65" s="18">
        <f t="shared" si="35"/>
        <v>3711</v>
      </c>
      <c r="K65" s="18">
        <f t="shared" si="35"/>
        <v>4027</v>
      </c>
      <c r="L65" s="18">
        <f t="shared" si="35"/>
        <v>4334</v>
      </c>
      <c r="M65" s="18">
        <f t="shared" si="35"/>
        <v>4589</v>
      </c>
      <c r="R65"/>
      <c r="S65"/>
      <c r="T65"/>
      <c r="U65"/>
      <c r="V65"/>
      <c r="W65"/>
      <c r="X65"/>
    </row>
    <row r="66" spans="1:24" s="13" customFormat="1" ht="12.75" customHeight="1" thickBot="1">
      <c r="A66" s="20">
        <v>20</v>
      </c>
      <c r="B66" s="8" t="s">
        <v>44</v>
      </c>
      <c r="C66" s="1"/>
      <c r="D66" s="16">
        <f aca="true" t="shared" si="36" ref="D66:M66">(C43*D40+C45*D50)/C46</f>
        <v>0.1389027786756459</v>
      </c>
      <c r="E66" s="16">
        <f t="shared" si="36"/>
        <v>0.13860638549055315</v>
      </c>
      <c r="F66" s="16">
        <f t="shared" si="36"/>
        <v>0.138557192249975</v>
      </c>
      <c r="G66" s="16">
        <f t="shared" si="36"/>
        <v>0.13845184621556358</v>
      </c>
      <c r="H66" s="16">
        <f t="shared" si="36"/>
        <v>0.13831722064994414</v>
      </c>
      <c r="I66" s="16">
        <f t="shared" si="36"/>
        <v>0.1381414110230543</v>
      </c>
      <c r="J66" s="16">
        <f t="shared" si="36"/>
        <v>0.13784774178372652</v>
      </c>
      <c r="K66" s="16">
        <f t="shared" si="36"/>
        <v>0.13773349731568982</v>
      </c>
      <c r="L66" s="16">
        <f t="shared" si="36"/>
        <v>0.13745009097509878</v>
      </c>
      <c r="M66" s="16">
        <f t="shared" si="36"/>
        <v>0.137</v>
      </c>
      <c r="N66" s="8"/>
      <c r="R66"/>
      <c r="S66"/>
      <c r="T66"/>
      <c r="U66"/>
      <c r="V66"/>
      <c r="W66"/>
      <c r="X66"/>
    </row>
    <row r="67" spans="1:24" s="13" customFormat="1" ht="12.75" customHeight="1" hidden="1">
      <c r="A67" s="20"/>
      <c r="B67" s="8" t="s">
        <v>45</v>
      </c>
      <c r="C67" s="1"/>
      <c r="D67" s="1">
        <f>(1+D66)</f>
        <v>1.1389027786756458</v>
      </c>
      <c r="E67" s="1">
        <f aca="true" t="shared" si="37" ref="E67:M67">(1+E66)*D67</f>
        <v>1.2967619762530245</v>
      </c>
      <c r="F67" s="1">
        <f t="shared" si="37"/>
        <v>1.4764376746991723</v>
      </c>
      <c r="G67" s="1">
        <f t="shared" si="37"/>
        <v>1.6808531965834863</v>
      </c>
      <c r="H67" s="1">
        <f t="shared" si="37"/>
        <v>1.9133441390554882</v>
      </c>
      <c r="I67" s="1">
        <f t="shared" si="37"/>
        <v>2.177656198197304</v>
      </c>
      <c r="J67" s="1">
        <f t="shared" si="37"/>
        <v>2.477841187500138</v>
      </c>
      <c r="K67" s="1">
        <f t="shared" si="37"/>
        <v>2.819122920047394</v>
      </c>
      <c r="L67" s="1">
        <f t="shared" si="37"/>
        <v>3.2066116218778946</v>
      </c>
      <c r="M67" s="1">
        <f t="shared" si="37"/>
        <v>3.645917414075166</v>
      </c>
      <c r="N67" s="8"/>
      <c r="R67"/>
      <c r="S67"/>
      <c r="T67"/>
      <c r="U67"/>
      <c r="V67"/>
      <c r="W67"/>
      <c r="X67"/>
    </row>
    <row r="68" spans="1:24" s="13" customFormat="1" ht="12.75" customHeight="1" hidden="1" thickBot="1">
      <c r="A68" s="20"/>
      <c r="B68" s="8" t="s">
        <v>46</v>
      </c>
      <c r="C68" s="1"/>
      <c r="D68" s="1">
        <f>D65/D67</f>
        <v>964.9638411436259</v>
      </c>
      <c r="E68" s="1">
        <f aca="true" t="shared" si="38" ref="E68:L68">E65/E67</f>
        <v>1241.553985606574</v>
      </c>
      <c r="F68" s="1">
        <f t="shared" si="38"/>
        <v>1416.9240164006585</v>
      </c>
      <c r="G68" s="1">
        <f t="shared" si="38"/>
        <v>1643.8080408307476</v>
      </c>
      <c r="H68" s="1">
        <f t="shared" si="38"/>
        <v>1677.1682283899568</v>
      </c>
      <c r="I68" s="1">
        <f t="shared" si="38"/>
        <v>1590.2418402256162</v>
      </c>
      <c r="J68" s="1">
        <f t="shared" si="38"/>
        <v>1497.6746769408496</v>
      </c>
      <c r="K68" s="1">
        <f t="shared" si="38"/>
        <v>1428.4584653486127</v>
      </c>
      <c r="L68" s="1">
        <f t="shared" si="38"/>
        <v>1351.5824524648453</v>
      </c>
      <c r="M68" s="1">
        <f>(M65+N68)/M67</f>
        <v>12231.672197100199</v>
      </c>
      <c r="N68" s="8">
        <f>M65*1.02/(M66-0.02)</f>
        <v>40006.666666666664</v>
      </c>
      <c r="R68"/>
      <c r="S68"/>
      <c r="T68"/>
      <c r="U68"/>
      <c r="V68"/>
      <c r="W68"/>
      <c r="X68"/>
    </row>
    <row r="69" spans="1:24" s="13" customFormat="1" ht="12.75" customHeight="1" thickBot="1">
      <c r="A69" s="20">
        <v>21</v>
      </c>
      <c r="B69" s="6" t="s">
        <v>50</v>
      </c>
      <c r="C69" s="22">
        <f>SUM(D68:M68)</f>
        <v>25044.047744451687</v>
      </c>
      <c r="D69" s="5">
        <f aca="true" t="shared" si="39" ref="D69:M69">C69*(1+D66)-D65</f>
        <v>27423.735565441566</v>
      </c>
      <c r="E69" s="5">
        <f t="shared" si="39"/>
        <v>29614.84042881615</v>
      </c>
      <c r="F69" s="5">
        <f t="shared" si="39"/>
        <v>31626.189567563968</v>
      </c>
      <c r="G69" s="5">
        <f t="shared" si="39"/>
        <v>33241.893901956595</v>
      </c>
      <c r="H69" s="5">
        <f t="shared" si="39"/>
        <v>34630.82027561556</v>
      </c>
      <c r="I69" s="5">
        <f t="shared" si="39"/>
        <v>35951.77065337489</v>
      </c>
      <c r="J69" s="5">
        <f t="shared" si="39"/>
        <v>37196.64105106907</v>
      </c>
      <c r="K69" s="5">
        <f t="shared" si="39"/>
        <v>38292.86451142917</v>
      </c>
      <c r="L69" s="5">
        <f t="shared" si="39"/>
        <v>39222.22222222225</v>
      </c>
      <c r="M69" s="5">
        <f t="shared" si="39"/>
        <v>40006.66666666669</v>
      </c>
      <c r="N69" s="6"/>
      <c r="R69"/>
      <c r="S69"/>
      <c r="T69"/>
      <c r="U69"/>
      <c r="V69"/>
      <c r="W69"/>
      <c r="X69"/>
    </row>
    <row r="70" spans="3:24" s="13" customFormat="1" ht="12.7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R70"/>
      <c r="S70"/>
      <c r="T70"/>
      <c r="U70"/>
      <c r="V70"/>
      <c r="W70"/>
      <c r="X70"/>
    </row>
    <row r="71" spans="3:24" s="13" customFormat="1" ht="12.7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R71"/>
      <c r="S71"/>
      <c r="T71"/>
      <c r="U71"/>
      <c r="V71"/>
      <c r="W71"/>
      <c r="X71"/>
    </row>
    <row r="72" spans="3:24" s="13" customFormat="1" ht="12.7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R72"/>
      <c r="S72"/>
      <c r="T72"/>
      <c r="U72"/>
      <c r="V72"/>
      <c r="W72"/>
      <c r="X72"/>
    </row>
    <row r="73" spans="3:13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3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3:13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</sheetData>
  <printOptions/>
  <pageMargins left="0.7500000000000001" right="0.39566929133858264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2001-07-09T14:30:51Z</dcterms:created>
  <dcterms:modified xsi:type="dcterms:W3CDTF">2004-03-08T12:10:20Z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-2066819538</vt:i4>
  </property>
  <property fmtid="{D5CDD505-2E9C-101B-9397-08002B2CF9AE}" pid="4" name="_EmailSubje">
    <vt:lpwstr>Cambiar estas tablas cap 29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