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0275" windowHeight="4875" activeTab="0"/>
  </bookViews>
  <sheets>
    <sheet name="29.3" sheetId="1" r:id="rId1"/>
  </sheets>
  <definedNames>
    <definedName name="_xlnm.Print_Area" localSheetId="0">'29.3'!$B$1:$P$93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<sst xmlns="http://schemas.openxmlformats.org/spreadsheetml/2006/main" count="81" uniqueCount="75">
  <si>
    <t>($ millones)</t>
  </si>
  <si>
    <t>NOF</t>
  </si>
  <si>
    <t>Activos fijos</t>
  </si>
  <si>
    <t>Total activo neto</t>
  </si>
  <si>
    <t>Deuda asumida</t>
  </si>
  <si>
    <t>Nueva deuda</t>
  </si>
  <si>
    <t>Convertibles</t>
  </si>
  <si>
    <t>Preferentes</t>
  </si>
  <si>
    <t>Recursos propios</t>
  </si>
  <si>
    <t>Total pasivo neto</t>
  </si>
  <si>
    <t>Venta de activos</t>
  </si>
  <si>
    <t>Valor contable</t>
  </si>
  <si>
    <t>Impuestos</t>
  </si>
  <si>
    <t>Venta - impuestos</t>
  </si>
  <si>
    <t>Bfo extraordinario</t>
  </si>
  <si>
    <t>Bfo neto  no incluye venta de activos</t>
  </si>
  <si>
    <t>VENTAS</t>
  </si>
  <si>
    <t>Beneficio operativo</t>
  </si>
  <si>
    <t>Intereses</t>
  </si>
  <si>
    <t>Impuestos (34%)</t>
  </si>
  <si>
    <t>Amort. fondo comercio</t>
  </si>
  <si>
    <t>Beneficio neto</t>
  </si>
  <si>
    <t xml:space="preserve"> - dividendos preferentes</t>
  </si>
  <si>
    <t xml:space="preserve"> + beneficio venta activos</t>
  </si>
  <si>
    <t>Beneficio para ordinarias</t>
  </si>
  <si>
    <t>Amortización e</t>
  </si>
  <si>
    <t>impuestos diferidos</t>
  </si>
  <si>
    <t xml:space="preserve"> -Inversiones</t>
  </si>
  <si>
    <t xml:space="preserve"> -Aumento NOF</t>
  </si>
  <si>
    <t xml:space="preserve"> +Valor cont. activos vendidos</t>
  </si>
  <si>
    <t xml:space="preserve"> +Intereses diferidos</t>
  </si>
  <si>
    <t xml:space="preserve"> + Aumento de deuda</t>
  </si>
  <si>
    <t xml:space="preserve"> + dividendos preferentes</t>
  </si>
  <si>
    <t xml:space="preserve"> -Amortización preferentes</t>
  </si>
  <si>
    <t>Flujo acciones</t>
  </si>
  <si>
    <t xml:space="preserve"> +(1-0,34)Intereses pagados</t>
  </si>
  <si>
    <r>
      <t xml:space="preserve"> -0,34  </t>
    </r>
    <r>
      <rPr>
        <sz val="9"/>
        <rFont val="Helv"/>
        <family val="0"/>
      </rPr>
      <t>x</t>
    </r>
    <r>
      <rPr>
        <sz val="9"/>
        <rFont val="Tms Rmn"/>
        <family val="0"/>
      </rPr>
      <t xml:space="preserve">  intereses diferidos</t>
    </r>
  </si>
  <si>
    <t xml:space="preserve"> +devolución de deuda</t>
  </si>
  <si>
    <t xml:space="preserve"> +Amortización preferentes</t>
  </si>
  <si>
    <t>FCF</t>
  </si>
  <si>
    <t>CFacc+CFconver</t>
  </si>
  <si>
    <t>Rf</t>
  </si>
  <si>
    <t>Pm</t>
  </si>
  <si>
    <t>Beta u</t>
  </si>
  <si>
    <t>beta L</t>
  </si>
  <si>
    <t>Ke</t>
  </si>
  <si>
    <t>Producto (1+Ke)</t>
  </si>
  <si>
    <t>CFac / Producto (1+Ke)</t>
  </si>
  <si>
    <t>CF Preferentes</t>
  </si>
  <si>
    <t>D</t>
  </si>
  <si>
    <t>Kd</t>
  </si>
  <si>
    <t>WACC</t>
  </si>
  <si>
    <t>Producto (1+WACC)</t>
  </si>
  <si>
    <t>FCF / Producto (1+wacc)</t>
  </si>
  <si>
    <t>Considerando las convertibles y preferentes como acciones (g=2%)</t>
  </si>
  <si>
    <t>Beta d</t>
  </si>
  <si>
    <t>Ku</t>
  </si>
  <si>
    <t>DTKu</t>
  </si>
  <si>
    <t>CCF</t>
  </si>
  <si>
    <r>
      <t>WACC</t>
    </r>
    <r>
      <rPr>
        <vertAlign val="subscript"/>
        <sz val="9"/>
        <rFont val="Tms Rmn"/>
        <family val="0"/>
      </rPr>
      <t>BT</t>
    </r>
  </si>
  <si>
    <r>
      <t>Producto (1+WACC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)</t>
    </r>
  </si>
  <si>
    <t>CCF / Producto (1+wacc)</t>
  </si>
  <si>
    <t>Vu=PV(FCF;Ku)</t>
  </si>
  <si>
    <t>DVTS=PV(DTKu;Ku)</t>
  </si>
  <si>
    <t>($ million)</t>
  </si>
  <si>
    <t>ECF+CFcon+CFpref = ECF+</t>
  </si>
  <si>
    <t>E+Pr+PrCo = E+</t>
  </si>
  <si>
    <t>E+ =PV(ECF+ ;Ke)</t>
  </si>
  <si>
    <t>D + E+</t>
  </si>
  <si>
    <t>Not-paid interest x T</t>
  </si>
  <si>
    <t>PV(Not-paid interest T;Ku)</t>
  </si>
  <si>
    <t>D + E+ = DVTS + Vu + PV</t>
  </si>
  <si>
    <t>D + E+=PV(FCF;WACC)</t>
  </si>
  <si>
    <r>
      <t>D + E+ = PV(CCF;WACC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)</t>
    </r>
  </si>
  <si>
    <t>RJR NABISCO. Estrategia de KKR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</si>
</sst>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"/>
    <numFmt numFmtId="189" formatCode="0.000"/>
    <numFmt numFmtId="190" formatCode="0.0%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Tms Rmn"/>
      <family val="0"/>
    </font>
    <font>
      <sz val="9"/>
      <name val="Tms Rmn"/>
      <family val="0"/>
    </font>
    <font>
      <b/>
      <sz val="12"/>
      <name val="Tms Rmn"/>
      <family val="0"/>
    </font>
    <font>
      <u val="single"/>
      <sz val="9"/>
      <name val="Tms Rmn"/>
      <family val="0"/>
    </font>
    <font>
      <sz val="9"/>
      <name val="Helv"/>
      <family val="0"/>
    </font>
    <font>
      <b/>
      <u val="single"/>
      <sz val="9"/>
      <name val="Tms Rmn"/>
      <family val="0"/>
    </font>
    <font>
      <vertAlign val="subscript"/>
      <sz val="9"/>
      <name val="Tms Rm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190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190" fontId="5" fillId="0" borderId="0" xfId="19" applyNumberFormat="1" applyFont="1" applyBorder="1" applyAlignment="1">
      <alignment/>
    </xf>
    <xf numFmtId="3" fontId="5" fillId="0" borderId="0" xfId="19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workbookViewId="0" topLeftCell="A55">
      <selection activeCell="N86" sqref="N86"/>
    </sheetView>
  </sheetViews>
  <sheetFormatPr defaultColWidth="9.00390625" defaultRowHeight="12.75"/>
  <cols>
    <col min="1" max="1" width="2.75390625" style="12" customWidth="1"/>
    <col min="2" max="2" width="22.75390625" style="12" customWidth="1"/>
    <col min="3" max="12" width="5.75390625" style="12" customWidth="1"/>
    <col min="13" max="13" width="5.75390625" style="14" customWidth="1"/>
    <col min="14" max="16" width="5.75390625" style="12" customWidth="1"/>
    <col min="17" max="18" width="6.75390625" style="12" customWidth="1"/>
    <col min="19" max="16384" width="10.75390625" style="12" customWidth="1"/>
  </cols>
  <sheetData>
    <row r="1" spans="1:13" s="4" customFormat="1" ht="18" customHeight="1">
      <c r="A1" s="11"/>
      <c r="C1" s="6"/>
      <c r="D1" s="6"/>
      <c r="E1" s="6" t="s">
        <v>74</v>
      </c>
      <c r="G1" s="6"/>
      <c r="H1" s="6"/>
      <c r="I1" s="6"/>
      <c r="M1" s="18"/>
    </row>
    <row r="2" spans="1:13" s="4" customFormat="1" ht="10.5" customHeight="1">
      <c r="A2" s="11"/>
      <c r="C2" s="6"/>
      <c r="D2" s="6"/>
      <c r="E2" s="6"/>
      <c r="G2" s="6"/>
      <c r="H2" s="6"/>
      <c r="I2" s="6"/>
      <c r="M2" s="18"/>
    </row>
    <row r="3" spans="2:16" s="11" customFormat="1" ht="10.5">
      <c r="B3" s="13" t="s">
        <v>0</v>
      </c>
      <c r="C3" s="11">
        <v>1988</v>
      </c>
      <c r="D3" s="11">
        <f aca="true" t="shared" si="0" ref="D3:P3">C3+1</f>
        <v>1989</v>
      </c>
      <c r="E3" s="11">
        <f t="shared" si="0"/>
        <v>1990</v>
      </c>
      <c r="F3" s="11">
        <f t="shared" si="0"/>
        <v>1991</v>
      </c>
      <c r="G3" s="11">
        <f t="shared" si="0"/>
        <v>1992</v>
      </c>
      <c r="H3" s="11">
        <f t="shared" si="0"/>
        <v>1993</v>
      </c>
      <c r="I3" s="11">
        <f t="shared" si="0"/>
        <v>1994</v>
      </c>
      <c r="J3" s="11">
        <f t="shared" si="0"/>
        <v>1995</v>
      </c>
      <c r="K3" s="11">
        <f t="shared" si="0"/>
        <v>1996</v>
      </c>
      <c r="L3" s="11">
        <f t="shared" si="0"/>
        <v>1997</v>
      </c>
      <c r="M3" s="19">
        <f t="shared" si="0"/>
        <v>1998</v>
      </c>
      <c r="N3" s="11">
        <f t="shared" si="0"/>
        <v>1999</v>
      </c>
      <c r="O3" s="11">
        <f t="shared" si="0"/>
        <v>2000</v>
      </c>
      <c r="P3" s="11">
        <f t="shared" si="0"/>
        <v>2001</v>
      </c>
    </row>
    <row r="4" spans="2:16" s="11" customFormat="1" ht="10.5">
      <c r="B4" s="12" t="s">
        <v>1</v>
      </c>
      <c r="C4" s="2">
        <v>1191</v>
      </c>
      <c r="D4" s="2">
        <f>C4+D36-185</f>
        <v>1085</v>
      </c>
      <c r="E4" s="2">
        <f>D4+E36-140</f>
        <v>1029</v>
      </c>
      <c r="F4" s="2">
        <f aca="true" t="shared" si="1" ref="F4:P4">E4+F36</f>
        <v>1115</v>
      </c>
      <c r="G4" s="2">
        <f t="shared" si="1"/>
        <v>1210</v>
      </c>
      <c r="H4" s="2">
        <f t="shared" si="1"/>
        <v>1312</v>
      </c>
      <c r="I4" s="2">
        <f t="shared" si="1"/>
        <v>1423</v>
      </c>
      <c r="J4" s="2">
        <f t="shared" si="1"/>
        <v>1542</v>
      </c>
      <c r="K4" s="2">
        <f t="shared" si="1"/>
        <v>1671</v>
      </c>
      <c r="L4" s="2">
        <f t="shared" si="1"/>
        <v>1811</v>
      </c>
      <c r="M4" s="15">
        <f t="shared" si="1"/>
        <v>1962</v>
      </c>
      <c r="N4" s="2">
        <f t="shared" si="1"/>
        <v>2126.439</v>
      </c>
      <c r="O4" s="2">
        <f t="shared" si="1"/>
        <v>2305.513071</v>
      </c>
      <c r="P4" s="2">
        <f t="shared" si="1"/>
        <v>2500.524734319</v>
      </c>
    </row>
    <row r="5" spans="2:16" s="11" customFormat="1" ht="10.5">
      <c r="B5" s="12" t="s">
        <v>2</v>
      </c>
      <c r="C5" s="2">
        <f>C13-C4</f>
        <v>25284</v>
      </c>
      <c r="D5" s="2">
        <f>C5+D35-D34-D17+185</f>
        <v>21963</v>
      </c>
      <c r="E5" s="2">
        <f>D5+E35-E34-E17+140</f>
        <v>19260</v>
      </c>
      <c r="F5" s="2">
        <f aca="true" t="shared" si="2" ref="F5:P5">E5+F35-F34</f>
        <v>18916</v>
      </c>
      <c r="G5" s="2">
        <f t="shared" si="2"/>
        <v>18581</v>
      </c>
      <c r="H5" s="2">
        <f t="shared" si="2"/>
        <v>18247</v>
      </c>
      <c r="I5" s="2">
        <f t="shared" si="2"/>
        <v>17921</v>
      </c>
      <c r="J5" s="2">
        <f t="shared" si="2"/>
        <v>17611</v>
      </c>
      <c r="K5" s="2">
        <f t="shared" si="2"/>
        <v>17316</v>
      </c>
      <c r="L5" s="2">
        <f t="shared" si="2"/>
        <v>17041</v>
      </c>
      <c r="M5" s="15">
        <f t="shared" si="2"/>
        <v>16774</v>
      </c>
      <c r="N5" s="2">
        <f t="shared" si="2"/>
        <v>16567.342</v>
      </c>
      <c r="O5" s="2">
        <f t="shared" si="2"/>
        <v>16426.396438</v>
      </c>
      <c r="P5" s="2">
        <f t="shared" si="2"/>
        <v>16357.011720981998</v>
      </c>
    </row>
    <row r="6" spans="2:16" s="11" customFormat="1" ht="10.5">
      <c r="B6" s="12" t="s">
        <v>3</v>
      </c>
      <c r="C6" s="2">
        <f aca="true" t="shared" si="3" ref="C6:P6">SUM(C4:C5)</f>
        <v>26475</v>
      </c>
      <c r="D6" s="2">
        <f t="shared" si="3"/>
        <v>23048</v>
      </c>
      <c r="E6" s="2">
        <f t="shared" si="3"/>
        <v>20289</v>
      </c>
      <c r="F6" s="2">
        <f t="shared" si="3"/>
        <v>20031</v>
      </c>
      <c r="G6" s="2">
        <f t="shared" si="3"/>
        <v>19791</v>
      </c>
      <c r="H6" s="2">
        <f t="shared" si="3"/>
        <v>19559</v>
      </c>
      <c r="I6" s="2">
        <f t="shared" si="3"/>
        <v>19344</v>
      </c>
      <c r="J6" s="2">
        <f t="shared" si="3"/>
        <v>19153</v>
      </c>
      <c r="K6" s="2">
        <f t="shared" si="3"/>
        <v>18987</v>
      </c>
      <c r="L6" s="2">
        <f t="shared" si="3"/>
        <v>18852</v>
      </c>
      <c r="M6" s="15">
        <f t="shared" si="3"/>
        <v>18736</v>
      </c>
      <c r="N6" s="2">
        <f t="shared" si="3"/>
        <v>18693.781</v>
      </c>
      <c r="O6" s="2">
        <f t="shared" si="3"/>
        <v>18731.909509</v>
      </c>
      <c r="P6" s="2">
        <f t="shared" si="3"/>
        <v>18857.536455300997</v>
      </c>
    </row>
    <row r="7" spans="2:16" s="11" customFormat="1" ht="10.5">
      <c r="B7" s="12"/>
      <c r="C7" s="2"/>
      <c r="D7" s="2"/>
      <c r="E7" s="2"/>
      <c r="F7" s="2"/>
      <c r="G7" s="2"/>
      <c r="H7" s="2"/>
      <c r="I7" s="2"/>
      <c r="J7" s="2"/>
      <c r="K7" s="2"/>
      <c r="L7" s="2"/>
      <c r="M7" s="15"/>
      <c r="N7" s="2"/>
      <c r="O7" s="2"/>
      <c r="P7" s="2"/>
    </row>
    <row r="8" spans="2:16" s="11" customFormat="1" ht="10.5">
      <c r="B8" s="12" t="s">
        <v>4</v>
      </c>
      <c r="C8" s="2">
        <v>5204</v>
      </c>
      <c r="D8" s="2">
        <v>4894</v>
      </c>
      <c r="E8" s="2">
        <v>4519</v>
      </c>
      <c r="F8" s="2">
        <v>3798</v>
      </c>
      <c r="G8" s="2">
        <v>2982</v>
      </c>
      <c r="H8" s="2">
        <v>2582</v>
      </c>
      <c r="I8" s="2">
        <v>2182</v>
      </c>
      <c r="J8" s="2">
        <v>0</v>
      </c>
      <c r="K8" s="2">
        <v>0</v>
      </c>
      <c r="L8" s="2">
        <v>0</v>
      </c>
      <c r="M8" s="15">
        <v>0</v>
      </c>
      <c r="N8" s="2">
        <v>0</v>
      </c>
      <c r="O8" s="2">
        <v>0</v>
      </c>
      <c r="P8" s="2">
        <v>0</v>
      </c>
    </row>
    <row r="9" spans="2:16" s="11" customFormat="1" ht="10.5">
      <c r="B9" s="12" t="s">
        <v>5</v>
      </c>
      <c r="C9" s="2">
        <f>12380+3500</f>
        <v>15880</v>
      </c>
      <c r="D9" s="2">
        <f>3500+8959</f>
        <v>12459</v>
      </c>
      <c r="E9" s="2">
        <f>3500+5813</f>
        <v>9313</v>
      </c>
      <c r="F9" s="2">
        <f>3500+5119</f>
        <v>8619</v>
      </c>
      <c r="G9" s="2">
        <f>3500+4195</f>
        <v>7695</v>
      </c>
      <c r="H9" s="2">
        <f>3500+2612</f>
        <v>6112</v>
      </c>
      <c r="I9" s="2">
        <f>3500+629</f>
        <v>4129</v>
      </c>
      <c r="J9" s="2">
        <f>3479</f>
        <v>3479</v>
      </c>
      <c r="K9" s="2">
        <v>149</v>
      </c>
      <c r="L9" s="2">
        <v>0</v>
      </c>
      <c r="M9" s="15">
        <v>0</v>
      </c>
      <c r="N9" s="2">
        <v>0</v>
      </c>
      <c r="O9" s="2">
        <v>0</v>
      </c>
      <c r="P9" s="2">
        <v>0</v>
      </c>
    </row>
    <row r="10" spans="2:16" s="11" customFormat="1" ht="10.5">
      <c r="B10" s="12" t="s">
        <v>6</v>
      </c>
      <c r="C10" s="2">
        <v>1373</v>
      </c>
      <c r="D10" s="2">
        <f>C10*1.15</f>
        <v>1578.9499999999998</v>
      </c>
      <c r="E10" s="2">
        <f>D10*1.15</f>
        <v>1815.7924999999996</v>
      </c>
      <c r="F10" s="2">
        <f>E10*1.172</f>
        <v>2128.1088099999993</v>
      </c>
      <c r="G10" s="2">
        <f>F10*1.172</f>
        <v>2494.143525319999</v>
      </c>
      <c r="H10" s="2"/>
      <c r="I10" s="2"/>
      <c r="J10" s="2"/>
      <c r="K10" s="2"/>
      <c r="L10" s="2"/>
      <c r="M10" s="15"/>
      <c r="N10" s="2"/>
      <c r="O10" s="2"/>
      <c r="P10" s="2"/>
    </row>
    <row r="11" spans="2:16" s="11" customFormat="1" ht="10.5">
      <c r="B11" s="12" t="s">
        <v>7</v>
      </c>
      <c r="C11" s="2">
        <v>2518</v>
      </c>
      <c r="D11" s="2">
        <f>C11*1.15</f>
        <v>2895.7</v>
      </c>
      <c r="E11" s="2">
        <f>D11*1.15</f>
        <v>3330.0549999999994</v>
      </c>
      <c r="F11" s="2">
        <f aca="true" t="shared" si="4" ref="F11:K11">E11*1.188</f>
        <v>3956.105339999999</v>
      </c>
      <c r="G11" s="2">
        <f t="shared" si="4"/>
        <v>4699.853143919999</v>
      </c>
      <c r="H11" s="2">
        <f t="shared" si="4"/>
        <v>5583.425534976958</v>
      </c>
      <c r="I11" s="2">
        <f t="shared" si="4"/>
        <v>6633.109535552626</v>
      </c>
      <c r="J11" s="2">
        <f t="shared" si="4"/>
        <v>7880.134128236519</v>
      </c>
      <c r="K11" s="2">
        <f t="shared" si="4"/>
        <v>9361.599344344984</v>
      </c>
      <c r="L11" s="2">
        <v>7320</v>
      </c>
      <c r="M11" s="15">
        <v>4377</v>
      </c>
      <c r="N11" s="2">
        <f>M11-3828</f>
        <v>549</v>
      </c>
      <c r="O11" s="2">
        <v>0</v>
      </c>
      <c r="P11" s="2">
        <v>0</v>
      </c>
    </row>
    <row r="12" spans="2:16" s="11" customFormat="1" ht="10.5">
      <c r="B12" s="12" t="s">
        <v>8</v>
      </c>
      <c r="C12" s="2">
        <v>1500</v>
      </c>
      <c r="D12" s="2">
        <f>C12+D32-D42</f>
        <v>1220.3000000000002</v>
      </c>
      <c r="E12" s="2">
        <f>D12+E32-E42</f>
        <v>1310.9450000000006</v>
      </c>
      <c r="F12" s="2">
        <f>E12+F32-F42</f>
        <v>1529.8946600000008</v>
      </c>
      <c r="G12" s="2">
        <f>F12+G32-G42</f>
        <v>1920.1468560800013</v>
      </c>
      <c r="H12" s="2">
        <f>G12+H32-H42+G10</f>
        <v>5281.717990343041</v>
      </c>
      <c r="I12" s="2">
        <f aca="true" t="shared" si="5" ref="I12:P12">H12+I32-I42</f>
        <v>6400.033989767373</v>
      </c>
      <c r="J12" s="2">
        <f t="shared" si="5"/>
        <v>7794.009397083479</v>
      </c>
      <c r="K12" s="2">
        <f t="shared" si="5"/>
        <v>9476.544180975014</v>
      </c>
      <c r="L12" s="2">
        <f t="shared" si="5"/>
        <v>11532.143525319998</v>
      </c>
      <c r="M12" s="15">
        <f t="shared" si="5"/>
        <v>14359.143525319998</v>
      </c>
      <c r="N12" s="2">
        <f t="shared" si="5"/>
        <v>18144.92452532</v>
      </c>
      <c r="O12" s="2">
        <f t="shared" si="5"/>
        <v>18732.053034319997</v>
      </c>
      <c r="P12" s="2">
        <f t="shared" si="5"/>
        <v>18857.679980620997</v>
      </c>
    </row>
    <row r="13" spans="2:16" s="11" customFormat="1" ht="10.5">
      <c r="B13" s="8" t="s">
        <v>9</v>
      </c>
      <c r="C13" s="7">
        <f aca="true" t="shared" si="6" ref="C13:P13">SUM(C8:C12)</f>
        <v>26475</v>
      </c>
      <c r="D13" s="7">
        <f t="shared" si="6"/>
        <v>23047.95</v>
      </c>
      <c r="E13" s="7">
        <f t="shared" si="6"/>
        <v>20288.7925</v>
      </c>
      <c r="F13" s="7">
        <f t="shared" si="6"/>
        <v>20031.10881</v>
      </c>
      <c r="G13" s="7">
        <f t="shared" si="6"/>
        <v>19791.14352532</v>
      </c>
      <c r="H13" s="7">
        <f t="shared" si="6"/>
        <v>19559.14352532</v>
      </c>
      <c r="I13" s="7">
        <f t="shared" si="6"/>
        <v>19344.14352532</v>
      </c>
      <c r="J13" s="7">
        <f t="shared" si="6"/>
        <v>19153.143525319996</v>
      </c>
      <c r="K13" s="7">
        <f t="shared" si="6"/>
        <v>18987.143525319996</v>
      </c>
      <c r="L13" s="7">
        <f t="shared" si="6"/>
        <v>18852.143525319996</v>
      </c>
      <c r="M13" s="7">
        <f t="shared" si="6"/>
        <v>18736.143525319996</v>
      </c>
      <c r="N13" s="7">
        <f t="shared" si="6"/>
        <v>18693.92452532</v>
      </c>
      <c r="O13" s="7">
        <f t="shared" si="6"/>
        <v>18732.053034319997</v>
      </c>
      <c r="P13" s="7">
        <f t="shared" si="6"/>
        <v>18857.679980620997</v>
      </c>
    </row>
    <row r="14" spans="3:13" s="11" customFormat="1" ht="10.5">
      <c r="C14" s="3"/>
      <c r="D14" s="3"/>
      <c r="E14" s="3"/>
      <c r="F14" s="3"/>
      <c r="G14" s="3"/>
      <c r="M14" s="19"/>
    </row>
    <row r="15" spans="4:13" s="11" customFormat="1" ht="10.5">
      <c r="D15" s="11">
        <v>1989</v>
      </c>
      <c r="E15" s="11">
        <f>D15+1</f>
        <v>1990</v>
      </c>
      <c r="F15" s="3"/>
      <c r="G15" s="3"/>
      <c r="M15" s="19"/>
    </row>
    <row r="16" spans="2:13" s="11" customFormat="1" ht="10.5">
      <c r="B16" s="11" t="s">
        <v>10</v>
      </c>
      <c r="C16" s="3"/>
      <c r="D16" s="3">
        <v>3694</v>
      </c>
      <c r="E16" s="3">
        <v>2850</v>
      </c>
      <c r="F16" s="2"/>
      <c r="G16" s="2"/>
      <c r="I16" s="12"/>
      <c r="M16" s="19"/>
    </row>
    <row r="17" spans="2:13" s="11" customFormat="1" ht="10.5">
      <c r="B17" s="12" t="s">
        <v>11</v>
      </c>
      <c r="C17" s="2"/>
      <c r="D17" s="2">
        <v>3121</v>
      </c>
      <c r="E17" s="2">
        <v>2408</v>
      </c>
      <c r="F17" s="3"/>
      <c r="G17" s="2">
        <f>C13-C8</f>
        <v>21271</v>
      </c>
      <c r="M17" s="19"/>
    </row>
    <row r="18" spans="2:13" s="11" customFormat="1" ht="10.5">
      <c r="B18" s="12" t="s">
        <v>12</v>
      </c>
      <c r="C18" s="2"/>
      <c r="D18" s="2">
        <f>INT((D16-D17)*0.34)</f>
        <v>194</v>
      </c>
      <c r="E18" s="2">
        <f>INT((E16-E17)*0.34)</f>
        <v>150</v>
      </c>
      <c r="F18" s="3"/>
      <c r="G18" s="2">
        <f>G17-7210</f>
        <v>14061</v>
      </c>
      <c r="M18" s="19"/>
    </row>
    <row r="19" spans="2:13" s="11" customFormat="1" ht="10.5">
      <c r="B19" s="12" t="s">
        <v>13</v>
      </c>
      <c r="C19" s="2"/>
      <c r="D19" s="2">
        <f>D16-D18</f>
        <v>3500</v>
      </c>
      <c r="E19" s="2">
        <f>E16-E18</f>
        <v>2700</v>
      </c>
      <c r="F19" s="3"/>
      <c r="G19" s="2">
        <f>G18/40</f>
        <v>351.525</v>
      </c>
      <c r="M19" s="19"/>
    </row>
    <row r="20" spans="2:13" s="11" customFormat="1" ht="10.5">
      <c r="B20" s="11" t="s">
        <v>14</v>
      </c>
      <c r="C20" s="3"/>
      <c r="D20" s="3">
        <f>D16-D17-D18</f>
        <v>379</v>
      </c>
      <c r="E20" s="3">
        <f>E16-E17-E18</f>
        <v>292</v>
      </c>
      <c r="F20" s="3"/>
      <c r="G20" s="3"/>
      <c r="H20" s="3"/>
      <c r="M20" s="19"/>
    </row>
    <row r="21" spans="3:13" s="11" customFormat="1" ht="10.5">
      <c r="C21" s="3"/>
      <c r="D21" s="3"/>
      <c r="E21" s="3"/>
      <c r="F21" s="3"/>
      <c r="G21" s="2"/>
      <c r="H21" s="2"/>
      <c r="I21" s="2"/>
      <c r="M21" s="19"/>
    </row>
    <row r="22" spans="2:16" s="11" customFormat="1" ht="12.75" customHeight="1">
      <c r="B22" s="11" t="s">
        <v>15</v>
      </c>
      <c r="G22" s="12"/>
      <c r="H22" s="12"/>
      <c r="I22" s="12"/>
      <c r="J22" s="12"/>
      <c r="K22" s="12"/>
      <c r="L22" s="12"/>
      <c r="M22" s="14"/>
      <c r="N22" s="12"/>
      <c r="O22" s="12"/>
      <c r="P22" s="12"/>
    </row>
    <row r="23" spans="2:16" s="11" customFormat="1" ht="10.5">
      <c r="B23" s="13" t="s">
        <v>0</v>
      </c>
      <c r="C23" s="11">
        <v>1988</v>
      </c>
      <c r="D23" s="11">
        <f aca="true" t="shared" si="7" ref="D23:P23">C23+1</f>
        <v>1989</v>
      </c>
      <c r="E23" s="11">
        <f t="shared" si="7"/>
        <v>1990</v>
      </c>
      <c r="F23" s="11">
        <f t="shared" si="7"/>
        <v>1991</v>
      </c>
      <c r="G23" s="11">
        <f t="shared" si="7"/>
        <v>1992</v>
      </c>
      <c r="H23" s="11">
        <f t="shared" si="7"/>
        <v>1993</v>
      </c>
      <c r="I23" s="11">
        <f t="shared" si="7"/>
        <v>1994</v>
      </c>
      <c r="J23" s="11">
        <f t="shared" si="7"/>
        <v>1995</v>
      </c>
      <c r="K23" s="11">
        <f t="shared" si="7"/>
        <v>1996</v>
      </c>
      <c r="L23" s="11">
        <f t="shared" si="7"/>
        <v>1997</v>
      </c>
      <c r="M23" s="19">
        <f t="shared" si="7"/>
        <v>1998</v>
      </c>
      <c r="N23" s="11">
        <f t="shared" si="7"/>
        <v>1999</v>
      </c>
      <c r="O23" s="11">
        <f t="shared" si="7"/>
        <v>2000</v>
      </c>
      <c r="P23" s="11">
        <f t="shared" si="7"/>
        <v>2001</v>
      </c>
    </row>
    <row r="24" spans="1:16" s="14" customFormat="1" ht="10.5" customHeight="1">
      <c r="A24" s="14">
        <v>1</v>
      </c>
      <c r="B24" s="14" t="s">
        <v>16</v>
      </c>
      <c r="C24" s="15">
        <v>16950</v>
      </c>
      <c r="D24" s="15">
        <v>16190</v>
      </c>
      <c r="E24" s="15">
        <v>15223</v>
      </c>
      <c r="F24" s="15">
        <v>16468</v>
      </c>
      <c r="G24" s="15">
        <v>17815</v>
      </c>
      <c r="H24" s="15">
        <v>19270</v>
      </c>
      <c r="I24" s="15">
        <v>20846</v>
      </c>
      <c r="J24" s="15">
        <v>22551</v>
      </c>
      <c r="K24" s="15">
        <v>24394</v>
      </c>
      <c r="L24" s="15">
        <v>26391</v>
      </c>
      <c r="M24" s="15">
        <v>28550</v>
      </c>
      <c r="N24" s="15">
        <f aca="true" t="shared" si="8" ref="N24:P25">M24*1.089</f>
        <v>31090.95</v>
      </c>
      <c r="O24" s="15">
        <f t="shared" si="8"/>
        <v>33858.04455</v>
      </c>
      <c r="P24" s="15">
        <f t="shared" si="8"/>
        <v>36871.410514949996</v>
      </c>
    </row>
    <row r="25" spans="1:16" ht="10.5" customHeight="1">
      <c r="A25" s="12">
        <f aca="true" t="shared" si="9" ref="A25:A47">A24+1</f>
        <v>2</v>
      </c>
      <c r="B25" s="14" t="s">
        <v>17</v>
      </c>
      <c r="C25" s="15">
        <v>2653</v>
      </c>
      <c r="D25" s="15">
        <v>2862</v>
      </c>
      <c r="E25" s="15">
        <v>3228</v>
      </c>
      <c r="F25" s="15">
        <v>3811</v>
      </c>
      <c r="G25" s="15">
        <v>4140</v>
      </c>
      <c r="H25" s="15">
        <v>4508</v>
      </c>
      <c r="I25" s="15">
        <v>4906</v>
      </c>
      <c r="J25" s="15">
        <v>5341</v>
      </c>
      <c r="K25" s="15">
        <v>5815</v>
      </c>
      <c r="L25" s="15">
        <v>6335</v>
      </c>
      <c r="M25" s="15">
        <v>6902</v>
      </c>
      <c r="N25" s="15">
        <f t="shared" si="8"/>
        <v>7516.277999999999</v>
      </c>
      <c r="O25" s="15">
        <f t="shared" si="8"/>
        <v>8185.226741999999</v>
      </c>
      <c r="P25" s="15">
        <f t="shared" si="8"/>
        <v>8913.711922038</v>
      </c>
    </row>
    <row r="26" spans="1:16" ht="10.5">
      <c r="A26" s="12">
        <f t="shared" si="9"/>
        <v>3</v>
      </c>
      <c r="B26" s="12" t="s">
        <v>18</v>
      </c>
      <c r="C26" s="2">
        <v>551</v>
      </c>
      <c r="D26" s="2">
        <v>2754</v>
      </c>
      <c r="E26" s="2">
        <v>2341</v>
      </c>
      <c r="F26" s="2">
        <v>1997</v>
      </c>
      <c r="G26" s="2">
        <v>1888</v>
      </c>
      <c r="H26" s="2">
        <v>1321</v>
      </c>
      <c r="I26" s="2">
        <v>1088</v>
      </c>
      <c r="J26" s="2">
        <v>806</v>
      </c>
      <c r="K26" s="2">
        <v>487</v>
      </c>
      <c r="L26" s="2">
        <v>21</v>
      </c>
      <c r="M26" s="15">
        <v>0</v>
      </c>
      <c r="N26" s="2">
        <v>0</v>
      </c>
      <c r="O26" s="2">
        <v>0</v>
      </c>
      <c r="P26" s="2">
        <v>0</v>
      </c>
    </row>
    <row r="27" spans="1:16" ht="10.5">
      <c r="A27" s="12">
        <f t="shared" si="9"/>
        <v>4</v>
      </c>
      <c r="B27" s="12" t="s">
        <v>19</v>
      </c>
      <c r="C27" s="2">
        <f aca="true" t="shared" si="10" ref="C27:P27">(C25-C26)*0.34</f>
        <v>714.6800000000001</v>
      </c>
      <c r="D27" s="2">
        <f t="shared" si="10"/>
        <v>36.720000000000006</v>
      </c>
      <c r="E27" s="2">
        <f t="shared" si="10"/>
        <v>301.58000000000004</v>
      </c>
      <c r="F27" s="2">
        <f t="shared" si="10"/>
        <v>616.76</v>
      </c>
      <c r="G27" s="2">
        <f t="shared" si="10"/>
        <v>765.6800000000001</v>
      </c>
      <c r="H27" s="2">
        <f t="shared" si="10"/>
        <v>1083.5800000000002</v>
      </c>
      <c r="I27" s="2">
        <f t="shared" si="10"/>
        <v>1298.1200000000001</v>
      </c>
      <c r="J27" s="2">
        <f t="shared" si="10"/>
        <v>1541.9</v>
      </c>
      <c r="K27" s="2">
        <f t="shared" si="10"/>
        <v>1811.5200000000002</v>
      </c>
      <c r="L27" s="2">
        <f t="shared" si="10"/>
        <v>2146.76</v>
      </c>
      <c r="M27" s="15">
        <f t="shared" si="10"/>
        <v>2346.6800000000003</v>
      </c>
      <c r="N27" s="2">
        <f t="shared" si="10"/>
        <v>2555.53452</v>
      </c>
      <c r="O27" s="2">
        <f t="shared" si="10"/>
        <v>2782.97709228</v>
      </c>
      <c r="P27" s="2">
        <f t="shared" si="10"/>
        <v>3030.6620534929198</v>
      </c>
    </row>
    <row r="28" spans="1:16" ht="10.5">
      <c r="A28" s="12">
        <f t="shared" si="9"/>
        <v>5</v>
      </c>
      <c r="B28" s="12" t="s">
        <v>20</v>
      </c>
      <c r="C28" s="2"/>
      <c r="D28" s="2">
        <v>352</v>
      </c>
      <c r="E28" s="2">
        <v>352</v>
      </c>
      <c r="F28" s="2">
        <v>352</v>
      </c>
      <c r="G28" s="2">
        <v>352</v>
      </c>
      <c r="H28" s="2">
        <v>352</v>
      </c>
      <c r="I28" s="2">
        <v>352</v>
      </c>
      <c r="J28" s="2">
        <v>352</v>
      </c>
      <c r="K28" s="2">
        <v>352</v>
      </c>
      <c r="L28" s="2">
        <v>352</v>
      </c>
      <c r="M28" s="15">
        <v>352</v>
      </c>
      <c r="N28" s="2">
        <v>352</v>
      </c>
      <c r="O28" s="2">
        <v>352</v>
      </c>
      <c r="P28" s="2">
        <v>352</v>
      </c>
    </row>
    <row r="29" spans="1:16" ht="10.5">
      <c r="A29" s="12">
        <f t="shared" si="9"/>
        <v>6</v>
      </c>
      <c r="B29" s="10" t="s">
        <v>21</v>
      </c>
      <c r="C29" s="9">
        <v>1360</v>
      </c>
      <c r="D29" s="9">
        <f>INT(D25-D26-D27-D28)</f>
        <v>-281</v>
      </c>
      <c r="E29" s="9">
        <f aca="true" t="shared" si="11" ref="E29:P29">E25-E26-E27-E28</f>
        <v>233.41999999999996</v>
      </c>
      <c r="F29" s="9">
        <f t="shared" si="11"/>
        <v>845.24</v>
      </c>
      <c r="G29" s="9">
        <f t="shared" si="11"/>
        <v>1134.32</v>
      </c>
      <c r="H29" s="9">
        <f t="shared" si="11"/>
        <v>1751.42</v>
      </c>
      <c r="I29" s="9">
        <f t="shared" si="11"/>
        <v>2167.88</v>
      </c>
      <c r="J29" s="9">
        <f t="shared" si="11"/>
        <v>2641.1</v>
      </c>
      <c r="K29" s="9">
        <f t="shared" si="11"/>
        <v>3164.4799999999996</v>
      </c>
      <c r="L29" s="9">
        <f t="shared" si="11"/>
        <v>3815.24</v>
      </c>
      <c r="M29" s="9">
        <f t="shared" si="11"/>
        <v>4203.32</v>
      </c>
      <c r="N29" s="9">
        <f t="shared" si="11"/>
        <v>4608.743479999999</v>
      </c>
      <c r="O29" s="9">
        <f t="shared" si="11"/>
        <v>5050.249649719999</v>
      </c>
      <c r="P29" s="9">
        <f t="shared" si="11"/>
        <v>5531.049868545079</v>
      </c>
    </row>
    <row r="30" spans="1:16" ht="10.5">
      <c r="A30" s="12">
        <f t="shared" si="9"/>
        <v>7</v>
      </c>
      <c r="B30" s="14" t="s">
        <v>22</v>
      </c>
      <c r="C30" s="15"/>
      <c r="D30" s="15">
        <f aca="true" t="shared" si="12" ref="D30:K30">D11-C11</f>
        <v>377.6999999999998</v>
      </c>
      <c r="E30" s="15">
        <f t="shared" si="12"/>
        <v>434.35499999999956</v>
      </c>
      <c r="F30" s="15">
        <f t="shared" si="12"/>
        <v>626.0503399999998</v>
      </c>
      <c r="G30" s="15">
        <f t="shared" si="12"/>
        <v>743.7478039199996</v>
      </c>
      <c r="H30" s="15">
        <f t="shared" si="12"/>
        <v>883.5723910569595</v>
      </c>
      <c r="I30" s="15">
        <f t="shared" si="12"/>
        <v>1049.6840005756676</v>
      </c>
      <c r="J30" s="15">
        <f t="shared" si="12"/>
        <v>1247.0245926838934</v>
      </c>
      <c r="K30" s="15">
        <f t="shared" si="12"/>
        <v>1481.465216108465</v>
      </c>
      <c r="L30" s="15">
        <f>K11*0.188</f>
        <v>1759.980676736857</v>
      </c>
      <c r="M30" s="15">
        <f>L11*0.188</f>
        <v>1376.16</v>
      </c>
      <c r="N30" s="15">
        <f>M11*0.188</f>
        <v>822.876</v>
      </c>
      <c r="O30" s="15">
        <f>N11*0.188</f>
        <v>103.212</v>
      </c>
      <c r="P30" s="15">
        <f>O11*0.188</f>
        <v>0</v>
      </c>
    </row>
    <row r="31" spans="1:16" ht="10.5">
      <c r="A31" s="12">
        <f t="shared" si="9"/>
        <v>8</v>
      </c>
      <c r="B31" s="14" t="s">
        <v>23</v>
      </c>
      <c r="C31" s="15"/>
      <c r="D31" s="15">
        <f>INT(D20)</f>
        <v>379</v>
      </c>
      <c r="E31" s="15">
        <f>E20</f>
        <v>292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0.5">
      <c r="A32" s="12">
        <f t="shared" si="9"/>
        <v>9</v>
      </c>
      <c r="B32" s="10" t="s">
        <v>24</v>
      </c>
      <c r="C32" s="9"/>
      <c r="D32" s="9">
        <f>D29-D30+D31</f>
        <v>-279.6999999999998</v>
      </c>
      <c r="E32" s="9">
        <f>E29-E30+E31</f>
        <v>91.0650000000004</v>
      </c>
      <c r="F32" s="9">
        <f aca="true" t="shared" si="13" ref="F32:P32">F29-F30</f>
        <v>219.18966000000023</v>
      </c>
      <c r="G32" s="9">
        <f t="shared" si="13"/>
        <v>390.57219608000037</v>
      </c>
      <c r="H32" s="9">
        <f t="shared" si="13"/>
        <v>867.8476089430405</v>
      </c>
      <c r="I32" s="9">
        <f t="shared" si="13"/>
        <v>1118.1959994243325</v>
      </c>
      <c r="J32" s="9">
        <f t="shared" si="13"/>
        <v>1394.0754073161065</v>
      </c>
      <c r="K32" s="9">
        <f t="shared" si="13"/>
        <v>1683.0147838915345</v>
      </c>
      <c r="L32" s="9">
        <f t="shared" si="13"/>
        <v>2055.2593232631425</v>
      </c>
      <c r="M32" s="9">
        <f t="shared" si="13"/>
        <v>2827.16</v>
      </c>
      <c r="N32" s="9">
        <f t="shared" si="13"/>
        <v>3785.867479999999</v>
      </c>
      <c r="O32" s="9">
        <f t="shared" si="13"/>
        <v>4947.037649719999</v>
      </c>
      <c r="P32" s="9">
        <f t="shared" si="13"/>
        <v>5531.049868545079</v>
      </c>
    </row>
    <row r="33" spans="1:16" ht="10.5">
      <c r="A33" s="12">
        <f t="shared" si="9"/>
        <v>10</v>
      </c>
      <c r="B33" s="12" t="s">
        <v>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15"/>
      <c r="N33" s="2"/>
      <c r="O33" s="2"/>
      <c r="P33" s="2"/>
    </row>
    <row r="34" spans="2:16" ht="10.5">
      <c r="B34" s="12" t="s">
        <v>26</v>
      </c>
      <c r="C34" s="2">
        <v>730</v>
      </c>
      <c r="D34" s="2">
        <v>1159</v>
      </c>
      <c r="E34" s="2">
        <v>991</v>
      </c>
      <c r="F34" s="2">
        <v>899</v>
      </c>
      <c r="G34" s="2">
        <v>907</v>
      </c>
      <c r="H34" s="2">
        <v>920</v>
      </c>
      <c r="I34" s="2">
        <v>924</v>
      </c>
      <c r="J34" s="2">
        <v>928</v>
      </c>
      <c r="K34" s="2">
        <v>933</v>
      </c>
      <c r="L34" s="2">
        <v>939</v>
      </c>
      <c r="M34" s="15">
        <v>945</v>
      </c>
      <c r="N34" s="2">
        <v>945</v>
      </c>
      <c r="O34" s="2">
        <v>945</v>
      </c>
      <c r="P34" s="2">
        <v>945</v>
      </c>
    </row>
    <row r="35" spans="1:16" ht="10.5">
      <c r="A35" s="12">
        <v>11</v>
      </c>
      <c r="B35" s="12" t="s">
        <v>27</v>
      </c>
      <c r="C35" s="2">
        <v>1142</v>
      </c>
      <c r="D35" s="2">
        <v>774</v>
      </c>
      <c r="E35" s="2">
        <v>556</v>
      </c>
      <c r="F35" s="2">
        <v>555</v>
      </c>
      <c r="G35" s="2">
        <v>572</v>
      </c>
      <c r="H35" s="2">
        <v>586</v>
      </c>
      <c r="I35" s="2">
        <v>598</v>
      </c>
      <c r="J35" s="2">
        <v>618</v>
      </c>
      <c r="K35" s="2">
        <v>638</v>
      </c>
      <c r="L35" s="2">
        <v>664</v>
      </c>
      <c r="M35" s="15">
        <v>678</v>
      </c>
      <c r="N35" s="2">
        <f aca="true" t="shared" si="14" ref="N35:P36">M35*1.089</f>
        <v>738.342</v>
      </c>
      <c r="O35" s="2">
        <f t="shared" si="14"/>
        <v>804.054438</v>
      </c>
      <c r="P35" s="2">
        <f t="shared" si="14"/>
        <v>875.6152829819999</v>
      </c>
    </row>
    <row r="36" spans="1:16" ht="10.5">
      <c r="A36" s="12">
        <f t="shared" si="9"/>
        <v>12</v>
      </c>
      <c r="B36" s="12" t="s">
        <v>28</v>
      </c>
      <c r="C36" s="2"/>
      <c r="D36" s="2">
        <v>79</v>
      </c>
      <c r="E36" s="2">
        <v>84</v>
      </c>
      <c r="F36" s="2">
        <v>86</v>
      </c>
      <c r="G36" s="2">
        <v>95</v>
      </c>
      <c r="H36" s="2">
        <v>102</v>
      </c>
      <c r="I36" s="2">
        <v>111</v>
      </c>
      <c r="J36" s="2">
        <v>119</v>
      </c>
      <c r="K36" s="2">
        <v>129</v>
      </c>
      <c r="L36" s="2">
        <v>140</v>
      </c>
      <c r="M36" s="15">
        <v>151</v>
      </c>
      <c r="N36" s="2">
        <f t="shared" si="14"/>
        <v>164.439</v>
      </c>
      <c r="O36" s="2">
        <f t="shared" si="14"/>
        <v>179.07407099999998</v>
      </c>
      <c r="P36" s="2">
        <f t="shared" si="14"/>
        <v>195.01166331899998</v>
      </c>
    </row>
    <row r="37" spans="1:16" ht="10.5">
      <c r="A37" s="12">
        <f t="shared" si="9"/>
        <v>13</v>
      </c>
      <c r="B37" s="12" t="s">
        <v>29</v>
      </c>
      <c r="C37" s="2"/>
      <c r="D37" s="2">
        <f>D17</f>
        <v>3121</v>
      </c>
      <c r="E37" s="2">
        <f>E17</f>
        <v>2408</v>
      </c>
      <c r="F37" s="2"/>
      <c r="G37" s="2"/>
      <c r="H37" s="2"/>
      <c r="I37" s="2"/>
      <c r="J37" s="2"/>
      <c r="K37" s="2"/>
      <c r="L37" s="2"/>
      <c r="M37" s="15"/>
      <c r="N37" s="2"/>
      <c r="O37" s="2"/>
      <c r="P37" s="2"/>
    </row>
    <row r="38" spans="1:16" ht="10.5">
      <c r="A38" s="12">
        <f t="shared" si="9"/>
        <v>14</v>
      </c>
      <c r="B38" s="12" t="s">
        <v>30</v>
      </c>
      <c r="C38" s="2"/>
      <c r="D38" s="2">
        <v>206</v>
      </c>
      <c r="E38" s="2">
        <v>237</v>
      </c>
      <c r="F38" s="2">
        <v>312</v>
      </c>
      <c r="G38" s="2">
        <v>366</v>
      </c>
      <c r="H38" s="2"/>
      <c r="I38" s="2"/>
      <c r="J38" s="2"/>
      <c r="K38" s="2"/>
      <c r="L38" s="2"/>
      <c r="M38" s="15"/>
      <c r="N38" s="2"/>
      <c r="O38" s="2"/>
      <c r="P38" s="2"/>
    </row>
    <row r="39" spans="1:16" ht="10.5">
      <c r="A39" s="12">
        <f t="shared" si="9"/>
        <v>15</v>
      </c>
      <c r="B39" s="12" t="s">
        <v>31</v>
      </c>
      <c r="C39" s="2"/>
      <c r="D39" s="2">
        <f aca="true" t="shared" si="15" ref="D39:P39">D8+D9-C8-C9</f>
        <v>-3731</v>
      </c>
      <c r="E39" s="2">
        <f t="shared" si="15"/>
        <v>-3521</v>
      </c>
      <c r="F39" s="2">
        <f t="shared" si="15"/>
        <v>-1415</v>
      </c>
      <c r="G39" s="2">
        <f t="shared" si="15"/>
        <v>-1740</v>
      </c>
      <c r="H39" s="2">
        <f t="shared" si="15"/>
        <v>-1983</v>
      </c>
      <c r="I39" s="2">
        <f t="shared" si="15"/>
        <v>-2383</v>
      </c>
      <c r="J39" s="2">
        <f t="shared" si="15"/>
        <v>-2832</v>
      </c>
      <c r="K39" s="2">
        <f t="shared" si="15"/>
        <v>-3330</v>
      </c>
      <c r="L39" s="2">
        <f t="shared" si="15"/>
        <v>-149</v>
      </c>
      <c r="M39" s="15">
        <f t="shared" si="15"/>
        <v>0</v>
      </c>
      <c r="N39" s="2">
        <f t="shared" si="15"/>
        <v>0</v>
      </c>
      <c r="O39" s="2">
        <f t="shared" si="15"/>
        <v>0</v>
      </c>
      <c r="P39" s="2">
        <f t="shared" si="15"/>
        <v>0</v>
      </c>
    </row>
    <row r="40" spans="1:16" ht="10.5">
      <c r="A40" s="12">
        <f t="shared" si="9"/>
        <v>16</v>
      </c>
      <c r="B40" s="14" t="s">
        <v>32</v>
      </c>
      <c r="C40" s="2"/>
      <c r="D40" s="2">
        <f aca="true" t="shared" si="16" ref="D40:P40">D30</f>
        <v>377.6999999999998</v>
      </c>
      <c r="E40" s="2">
        <f t="shared" si="16"/>
        <v>434.35499999999956</v>
      </c>
      <c r="F40" s="2">
        <f t="shared" si="16"/>
        <v>626.0503399999998</v>
      </c>
      <c r="G40" s="2">
        <f t="shared" si="16"/>
        <v>743.7478039199996</v>
      </c>
      <c r="H40" s="2">
        <f t="shared" si="16"/>
        <v>883.5723910569595</v>
      </c>
      <c r="I40" s="2">
        <f t="shared" si="16"/>
        <v>1049.6840005756676</v>
      </c>
      <c r="J40" s="2">
        <f t="shared" si="16"/>
        <v>1247.0245926838934</v>
      </c>
      <c r="K40" s="2">
        <f t="shared" si="16"/>
        <v>1481.465216108465</v>
      </c>
      <c r="L40" s="2">
        <f t="shared" si="16"/>
        <v>1759.980676736857</v>
      </c>
      <c r="M40" s="15">
        <f t="shared" si="16"/>
        <v>1376.16</v>
      </c>
      <c r="N40" s="2">
        <f t="shared" si="16"/>
        <v>822.876</v>
      </c>
      <c r="O40" s="2">
        <f t="shared" si="16"/>
        <v>103.212</v>
      </c>
      <c r="P40" s="2">
        <f t="shared" si="16"/>
        <v>0</v>
      </c>
    </row>
    <row r="41" spans="1:16" ht="10.5">
      <c r="A41" s="12">
        <f t="shared" si="9"/>
        <v>17</v>
      </c>
      <c r="B41" s="12" t="s">
        <v>33</v>
      </c>
      <c r="C41" s="2"/>
      <c r="D41" s="2"/>
      <c r="E41" s="2"/>
      <c r="F41" s="2"/>
      <c r="G41" s="2"/>
      <c r="H41" s="2"/>
      <c r="I41" s="2"/>
      <c r="J41" s="2"/>
      <c r="K41" s="2"/>
      <c r="L41" s="2">
        <f>L11-K11*1.188</f>
        <v>-3801.5800210818416</v>
      </c>
      <c r="M41" s="15">
        <f>M11-L11*1.188</f>
        <v>-4319.16</v>
      </c>
      <c r="N41" s="2">
        <f>N11-M11*1.188</f>
        <v>-4650.876</v>
      </c>
      <c r="O41" s="2">
        <f>O11-N11*1.188</f>
        <v>-652.212</v>
      </c>
      <c r="P41" s="2">
        <f>P11-O11*1.188</f>
        <v>0</v>
      </c>
    </row>
    <row r="42" spans="1:16" ht="10.5">
      <c r="A42" s="12">
        <f t="shared" si="9"/>
        <v>18</v>
      </c>
      <c r="B42" s="8" t="s">
        <v>34</v>
      </c>
      <c r="C42" s="7"/>
      <c r="D42" s="7">
        <f aca="true" t="shared" si="17" ref="D42:P42">D32+D34-D35-D36+D37+D38+D39+D40+D41</f>
        <v>0</v>
      </c>
      <c r="E42" s="7">
        <f t="shared" si="17"/>
        <v>0.42000000000007276</v>
      </c>
      <c r="F42" s="7">
        <f t="shared" si="17"/>
        <v>0.2400000000000091</v>
      </c>
      <c r="G42" s="7">
        <f t="shared" si="17"/>
        <v>0.31999999999993634</v>
      </c>
      <c r="H42" s="7">
        <f t="shared" si="17"/>
        <v>0.42000000000007276</v>
      </c>
      <c r="I42" s="7">
        <f t="shared" si="17"/>
        <v>-0.11999999999989086</v>
      </c>
      <c r="J42" s="7">
        <f t="shared" si="17"/>
        <v>0.09999999999990905</v>
      </c>
      <c r="K42" s="7">
        <f t="shared" si="17"/>
        <v>0.47999999999956344</v>
      </c>
      <c r="L42" s="7">
        <f t="shared" si="17"/>
        <v>-0.34002108184176905</v>
      </c>
      <c r="M42" s="7">
        <f t="shared" si="17"/>
        <v>0.15999999999985448</v>
      </c>
      <c r="N42" s="7">
        <f t="shared" si="17"/>
        <v>0.08647999999902822</v>
      </c>
      <c r="O42" s="7">
        <f t="shared" si="17"/>
        <v>4359.909140719999</v>
      </c>
      <c r="P42" s="7">
        <f t="shared" si="17"/>
        <v>5405.422922244079</v>
      </c>
    </row>
    <row r="43" spans="1:16" ht="10.5">
      <c r="A43" s="12">
        <f t="shared" si="9"/>
        <v>19</v>
      </c>
      <c r="B43" s="12" t="s">
        <v>35</v>
      </c>
      <c r="C43" s="2"/>
      <c r="D43" s="2">
        <f aca="true" t="shared" si="18" ref="D43:P43">0.66*(D26-D38)</f>
        <v>1681.68</v>
      </c>
      <c r="E43" s="2">
        <f t="shared" si="18"/>
        <v>1388.64</v>
      </c>
      <c r="F43" s="2">
        <f t="shared" si="18"/>
        <v>1112.1000000000001</v>
      </c>
      <c r="G43" s="2">
        <f t="shared" si="18"/>
        <v>1004.5200000000001</v>
      </c>
      <c r="H43" s="2">
        <f t="shared" si="18"/>
        <v>871.86</v>
      </c>
      <c r="I43" s="2">
        <f t="shared" si="18"/>
        <v>718.08</v>
      </c>
      <c r="J43" s="2">
        <f t="shared" si="18"/>
        <v>531.96</v>
      </c>
      <c r="K43" s="2">
        <f t="shared" si="18"/>
        <v>321.42</v>
      </c>
      <c r="L43" s="2">
        <f t="shared" si="18"/>
        <v>13.860000000000001</v>
      </c>
      <c r="M43" s="15">
        <f t="shared" si="18"/>
        <v>0</v>
      </c>
      <c r="N43" s="2">
        <f t="shared" si="18"/>
        <v>0</v>
      </c>
      <c r="O43" s="2">
        <f t="shared" si="18"/>
        <v>0</v>
      </c>
      <c r="P43" s="2">
        <f t="shared" si="18"/>
        <v>0</v>
      </c>
    </row>
    <row r="44" spans="1:16" ht="10.5">
      <c r="A44" s="12">
        <f t="shared" si="9"/>
        <v>20</v>
      </c>
      <c r="B44" s="12" t="s">
        <v>36</v>
      </c>
      <c r="C44" s="2"/>
      <c r="D44" s="2">
        <f aca="true" t="shared" si="19" ref="D44:P44">0.34*D38</f>
        <v>70.04</v>
      </c>
      <c r="E44" s="2">
        <f t="shared" si="19"/>
        <v>80.58000000000001</v>
      </c>
      <c r="F44" s="2">
        <f t="shared" si="19"/>
        <v>106.08000000000001</v>
      </c>
      <c r="G44" s="2">
        <f t="shared" si="19"/>
        <v>124.44000000000001</v>
      </c>
      <c r="H44" s="2">
        <f t="shared" si="19"/>
        <v>0</v>
      </c>
      <c r="I44" s="2">
        <f t="shared" si="19"/>
        <v>0</v>
      </c>
      <c r="J44" s="2">
        <f t="shared" si="19"/>
        <v>0</v>
      </c>
      <c r="K44" s="2">
        <f t="shared" si="19"/>
        <v>0</v>
      </c>
      <c r="L44" s="2">
        <f t="shared" si="19"/>
        <v>0</v>
      </c>
      <c r="M44" s="15">
        <f t="shared" si="19"/>
        <v>0</v>
      </c>
      <c r="N44" s="2">
        <f t="shared" si="19"/>
        <v>0</v>
      </c>
      <c r="O44" s="2">
        <f t="shared" si="19"/>
        <v>0</v>
      </c>
      <c r="P44" s="2">
        <f t="shared" si="19"/>
        <v>0</v>
      </c>
    </row>
    <row r="45" spans="1:16" ht="10.5">
      <c r="A45" s="12">
        <f t="shared" si="9"/>
        <v>21</v>
      </c>
      <c r="B45" s="14" t="s">
        <v>37</v>
      </c>
      <c r="C45" s="15"/>
      <c r="D45" s="15">
        <f aca="true" t="shared" si="20" ref="D45:L45">-D39</f>
        <v>3731</v>
      </c>
      <c r="E45" s="15">
        <f t="shared" si="20"/>
        <v>3521</v>
      </c>
      <c r="F45" s="15">
        <f t="shared" si="20"/>
        <v>1415</v>
      </c>
      <c r="G45" s="15">
        <f t="shared" si="20"/>
        <v>1740</v>
      </c>
      <c r="H45" s="15">
        <f t="shared" si="20"/>
        <v>1983</v>
      </c>
      <c r="I45" s="15">
        <f t="shared" si="20"/>
        <v>2383</v>
      </c>
      <c r="J45" s="15">
        <f t="shared" si="20"/>
        <v>2832</v>
      </c>
      <c r="K45" s="15">
        <f t="shared" si="20"/>
        <v>3330</v>
      </c>
      <c r="L45" s="15">
        <f t="shared" si="20"/>
        <v>149</v>
      </c>
      <c r="M45" s="15"/>
      <c r="N45" s="15"/>
      <c r="O45" s="15"/>
      <c r="P45" s="15"/>
    </row>
    <row r="46" spans="1:16" ht="10.5">
      <c r="A46" s="12">
        <f t="shared" si="9"/>
        <v>22</v>
      </c>
      <c r="B46" s="12" t="s">
        <v>38</v>
      </c>
      <c r="C46" s="15"/>
      <c r="D46" s="15"/>
      <c r="E46" s="15"/>
      <c r="F46" s="15"/>
      <c r="G46" s="15"/>
      <c r="H46" s="15"/>
      <c r="I46" s="15"/>
      <c r="J46" s="15"/>
      <c r="K46" s="15"/>
      <c r="L46" s="15">
        <f>-L41</f>
        <v>3801.5800210818416</v>
      </c>
      <c r="M46" s="15">
        <f>-M41</f>
        <v>4319.16</v>
      </c>
      <c r="N46" s="15">
        <f>-N41</f>
        <v>4650.876</v>
      </c>
      <c r="O46" s="15">
        <f>-O41</f>
        <v>652.212</v>
      </c>
      <c r="P46" s="15">
        <f>-P41</f>
        <v>0</v>
      </c>
    </row>
    <row r="47" spans="1:16" ht="10.5">
      <c r="A47" s="12">
        <f t="shared" si="9"/>
        <v>23</v>
      </c>
      <c r="B47" s="8" t="s">
        <v>39</v>
      </c>
      <c r="C47" s="7"/>
      <c r="D47" s="7">
        <f aca="true" t="shared" si="21" ref="D47:P47">D42+D43-D44+D45+D46</f>
        <v>5342.64</v>
      </c>
      <c r="E47" s="7">
        <f t="shared" si="21"/>
        <v>4829.4800000000005</v>
      </c>
      <c r="F47" s="7">
        <f t="shared" si="21"/>
        <v>2421.26</v>
      </c>
      <c r="G47" s="7">
        <f t="shared" si="21"/>
        <v>2620.4</v>
      </c>
      <c r="H47" s="7">
        <f t="shared" si="21"/>
        <v>2855.28</v>
      </c>
      <c r="I47" s="7">
        <f t="shared" si="21"/>
        <v>3100.96</v>
      </c>
      <c r="J47" s="7">
        <f t="shared" si="21"/>
        <v>3364.06</v>
      </c>
      <c r="K47" s="7">
        <f t="shared" si="21"/>
        <v>3651.8999999999996</v>
      </c>
      <c r="L47" s="7">
        <f t="shared" si="21"/>
        <v>3964.1</v>
      </c>
      <c r="M47" s="7">
        <f t="shared" si="21"/>
        <v>4319.32</v>
      </c>
      <c r="N47" s="7">
        <f t="shared" si="21"/>
        <v>4650.962479999999</v>
      </c>
      <c r="O47" s="7">
        <f t="shared" si="21"/>
        <v>5012.121140719999</v>
      </c>
      <c r="P47" s="7">
        <f t="shared" si="21"/>
        <v>5405.422922244079</v>
      </c>
    </row>
    <row r="48" spans="2:16" ht="10.5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2:16" s="11" customFormat="1" ht="10.5">
      <c r="B49" s="13" t="s">
        <v>0</v>
      </c>
      <c r="C49" s="11">
        <v>1988</v>
      </c>
      <c r="D49" s="11">
        <f aca="true" t="shared" si="22" ref="D49:P49">C49+1</f>
        <v>1989</v>
      </c>
      <c r="E49" s="11">
        <f t="shared" si="22"/>
        <v>1990</v>
      </c>
      <c r="F49" s="11">
        <f t="shared" si="22"/>
        <v>1991</v>
      </c>
      <c r="G49" s="11">
        <f t="shared" si="22"/>
        <v>1992</v>
      </c>
      <c r="H49" s="11">
        <f t="shared" si="22"/>
        <v>1993</v>
      </c>
      <c r="I49" s="11">
        <f t="shared" si="22"/>
        <v>1994</v>
      </c>
      <c r="J49" s="11">
        <f t="shared" si="22"/>
        <v>1995</v>
      </c>
      <c r="K49" s="11">
        <f t="shared" si="22"/>
        <v>1996</v>
      </c>
      <c r="L49" s="11">
        <f t="shared" si="22"/>
        <v>1997</v>
      </c>
      <c r="M49" s="19">
        <f t="shared" si="22"/>
        <v>1998</v>
      </c>
      <c r="N49" s="11">
        <f t="shared" si="22"/>
        <v>1999</v>
      </c>
      <c r="O49" s="11">
        <f t="shared" si="22"/>
        <v>2000</v>
      </c>
      <c r="P49" s="11">
        <f t="shared" si="22"/>
        <v>2001</v>
      </c>
    </row>
    <row r="50" spans="2:17" s="11" customFormat="1" ht="10.5">
      <c r="B50" s="12" t="s">
        <v>40</v>
      </c>
      <c r="C50" s="2"/>
      <c r="D50" s="2">
        <f aca="true" t="shared" si="23" ref="D50:P50">D42</f>
        <v>0</v>
      </c>
      <c r="E50" s="2">
        <f t="shared" si="23"/>
        <v>0.42000000000007276</v>
      </c>
      <c r="F50" s="2">
        <f t="shared" si="23"/>
        <v>0.2400000000000091</v>
      </c>
      <c r="G50" s="2">
        <f t="shared" si="23"/>
        <v>0.31999999999993634</v>
      </c>
      <c r="H50" s="2">
        <f t="shared" si="23"/>
        <v>0.42000000000007276</v>
      </c>
      <c r="I50" s="2">
        <f t="shared" si="23"/>
        <v>-0.11999999999989086</v>
      </c>
      <c r="J50" s="2">
        <f t="shared" si="23"/>
        <v>0.09999999999990905</v>
      </c>
      <c r="K50" s="2">
        <f t="shared" si="23"/>
        <v>0.47999999999956344</v>
      </c>
      <c r="L50" s="2">
        <f t="shared" si="23"/>
        <v>-0.34002108184176905</v>
      </c>
      <c r="M50" s="2">
        <f t="shared" si="23"/>
        <v>0.15999999999985448</v>
      </c>
      <c r="N50" s="2">
        <f t="shared" si="23"/>
        <v>0.08647999999902822</v>
      </c>
      <c r="O50" s="2">
        <f t="shared" si="23"/>
        <v>4359.909140719999</v>
      </c>
      <c r="P50" s="2">
        <f t="shared" si="23"/>
        <v>5405.422922244079</v>
      </c>
      <c r="Q50" s="12"/>
    </row>
    <row r="51" spans="2:16" ht="12" customHeight="1">
      <c r="B51" s="12" t="s">
        <v>48</v>
      </c>
      <c r="C51" s="2">
        <f aca="true" t="shared" si="24" ref="C51:O51">C46</f>
        <v>0</v>
      </c>
      <c r="D51" s="2">
        <f t="shared" si="24"/>
        <v>0</v>
      </c>
      <c r="E51" s="2">
        <f t="shared" si="24"/>
        <v>0</v>
      </c>
      <c r="F51" s="2">
        <f t="shared" si="24"/>
        <v>0</v>
      </c>
      <c r="G51" s="2">
        <f t="shared" si="24"/>
        <v>0</v>
      </c>
      <c r="H51" s="2">
        <f t="shared" si="24"/>
        <v>0</v>
      </c>
      <c r="I51" s="2">
        <f t="shared" si="24"/>
        <v>0</v>
      </c>
      <c r="J51" s="2">
        <f t="shared" si="24"/>
        <v>0</v>
      </c>
      <c r="K51" s="2">
        <f t="shared" si="24"/>
        <v>0</v>
      </c>
      <c r="L51" s="2">
        <f t="shared" si="24"/>
        <v>3801.5800210818416</v>
      </c>
      <c r="M51" s="2">
        <f t="shared" si="24"/>
        <v>4319.16</v>
      </c>
      <c r="N51" s="2">
        <f t="shared" si="24"/>
        <v>4650.876</v>
      </c>
      <c r="O51" s="2">
        <f t="shared" si="24"/>
        <v>652.212</v>
      </c>
      <c r="P51" s="2"/>
    </row>
    <row r="52" spans="2:16" ht="12" customHeight="1">
      <c r="B52" s="12" t="s">
        <v>49</v>
      </c>
      <c r="C52" s="2">
        <f>C8+C9</f>
        <v>21084</v>
      </c>
      <c r="D52" s="2">
        <f aca="true" t="shared" si="25" ref="D52:P52">D8+D9</f>
        <v>17353</v>
      </c>
      <c r="E52" s="2">
        <f t="shared" si="25"/>
        <v>13832</v>
      </c>
      <c r="F52" s="2">
        <f t="shared" si="25"/>
        <v>12417</v>
      </c>
      <c r="G52" s="2">
        <f t="shared" si="25"/>
        <v>10677</v>
      </c>
      <c r="H52" s="2">
        <f t="shared" si="25"/>
        <v>8694</v>
      </c>
      <c r="I52" s="2">
        <f t="shared" si="25"/>
        <v>6311</v>
      </c>
      <c r="J52" s="2">
        <f t="shared" si="25"/>
        <v>3479</v>
      </c>
      <c r="K52" s="2">
        <f t="shared" si="25"/>
        <v>149</v>
      </c>
      <c r="L52" s="2">
        <f t="shared" si="25"/>
        <v>0</v>
      </c>
      <c r="M52" s="2">
        <f t="shared" si="25"/>
        <v>0</v>
      </c>
      <c r="N52" s="2">
        <f t="shared" si="25"/>
        <v>0</v>
      </c>
      <c r="O52" s="2">
        <f t="shared" si="25"/>
        <v>0</v>
      </c>
      <c r="P52" s="2">
        <f t="shared" si="25"/>
        <v>0</v>
      </c>
    </row>
    <row r="53" spans="2:16" ht="10.5">
      <c r="B53" s="12" t="s">
        <v>50</v>
      </c>
      <c r="C53" s="2"/>
      <c r="D53" s="5">
        <f>(D26-D38)/(C52)</f>
        <v>0.12084993359893759</v>
      </c>
      <c r="E53" s="5">
        <f>(E26-E38)/(D52)</f>
        <v>0.12124704662018095</v>
      </c>
      <c r="F53" s="5">
        <f>(F26-F38)/(E52)</f>
        <v>0.12181897050318102</v>
      </c>
      <c r="G53" s="5">
        <f>(G26-G38)/(F52)</f>
        <v>0.12257389063380848</v>
      </c>
      <c r="H53" s="5">
        <f>(H26-H38)/(G52)</f>
        <v>0.12372389247916081</v>
      </c>
      <c r="I53" s="5">
        <f>(I26-I38)/(H52)</f>
        <v>0.12514377731769036</v>
      </c>
      <c r="J53" s="5">
        <f>(J26-J38)/(I52)</f>
        <v>0.12771351608302964</v>
      </c>
      <c r="K53" s="5">
        <f>(K26-K38)/(J52)</f>
        <v>0.13998275366484622</v>
      </c>
      <c r="L53" s="5">
        <f>(L26-L38)/(K52)</f>
        <v>0.14093959731543623</v>
      </c>
      <c r="M53" s="5">
        <v>0</v>
      </c>
      <c r="N53" s="5">
        <v>0</v>
      </c>
      <c r="O53" s="5">
        <v>0</v>
      </c>
      <c r="P53" s="5">
        <v>0</v>
      </c>
    </row>
    <row r="54" spans="2:16" ht="10.5">
      <c r="B54" s="2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5" ht="10.5">
      <c r="B55" s="11" t="s">
        <v>54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6" s="11" customFormat="1" ht="10.5">
      <c r="B56" s="13" t="s">
        <v>64</v>
      </c>
      <c r="C56" s="11">
        <v>1988</v>
      </c>
      <c r="D56" s="11">
        <f aca="true" t="shared" si="26" ref="D56:P56">C56+1</f>
        <v>1989</v>
      </c>
      <c r="E56" s="11">
        <f t="shared" si="26"/>
        <v>1990</v>
      </c>
      <c r="F56" s="11">
        <f t="shared" si="26"/>
        <v>1991</v>
      </c>
      <c r="G56" s="11">
        <f t="shared" si="26"/>
        <v>1992</v>
      </c>
      <c r="H56" s="11">
        <f t="shared" si="26"/>
        <v>1993</v>
      </c>
      <c r="I56" s="11">
        <f t="shared" si="26"/>
        <v>1994</v>
      </c>
      <c r="J56" s="11">
        <f t="shared" si="26"/>
        <v>1995</v>
      </c>
      <c r="K56" s="11">
        <f t="shared" si="26"/>
        <v>1996</v>
      </c>
      <c r="L56" s="11">
        <f t="shared" si="26"/>
        <v>1997</v>
      </c>
      <c r="M56" s="19">
        <f t="shared" si="26"/>
        <v>1998</v>
      </c>
      <c r="N56" s="11">
        <f t="shared" si="26"/>
        <v>1999</v>
      </c>
      <c r="O56" s="11">
        <f t="shared" si="26"/>
        <v>2000</v>
      </c>
      <c r="P56" s="11">
        <f t="shared" si="26"/>
        <v>2001</v>
      </c>
    </row>
    <row r="57" spans="2:17" s="11" customFormat="1" ht="10.5">
      <c r="B57" s="12" t="s">
        <v>65</v>
      </c>
      <c r="C57" s="2"/>
      <c r="D57" s="2">
        <f>D50+D51</f>
        <v>0</v>
      </c>
      <c r="E57" s="2">
        <f>E50+E51</f>
        <v>0.42000000000007276</v>
      </c>
      <c r="F57" s="2">
        <f>F50+F51</f>
        <v>0.2400000000000091</v>
      </c>
      <c r="G57" s="2">
        <f>G50+G51</f>
        <v>0.31999999999993634</v>
      </c>
      <c r="H57" s="2">
        <f>H50+H51</f>
        <v>0.42000000000007276</v>
      </c>
      <c r="I57" s="2">
        <f>I50+I51</f>
        <v>-0.11999999999989086</v>
      </c>
      <c r="J57" s="2">
        <f>J50+J51</f>
        <v>0.09999999999990905</v>
      </c>
      <c r="K57" s="2">
        <f>K50+K51</f>
        <v>0.47999999999956344</v>
      </c>
      <c r="L57" s="2">
        <f>L50+L51</f>
        <v>3801.24</v>
      </c>
      <c r="M57" s="2">
        <f>M50+M51</f>
        <v>4319.32</v>
      </c>
      <c r="N57" s="2">
        <f>N50+N51</f>
        <v>4650.962479999999</v>
      </c>
      <c r="O57" s="2">
        <f>O50+O51</f>
        <v>5012.121140719999</v>
      </c>
      <c r="P57" s="2">
        <f>P50+P51</f>
        <v>5405.422922244079</v>
      </c>
      <c r="Q57" s="12"/>
    </row>
    <row r="58" spans="1:16" ht="10.5">
      <c r="A58" s="12">
        <v>1</v>
      </c>
      <c r="B58" s="12" t="s">
        <v>41</v>
      </c>
      <c r="C58" s="2"/>
      <c r="D58" s="16">
        <v>0.085</v>
      </c>
      <c r="E58" s="16">
        <v>0.085</v>
      </c>
      <c r="F58" s="16">
        <v>0.085</v>
      </c>
      <c r="G58" s="16">
        <v>0.085</v>
      </c>
      <c r="H58" s="16">
        <v>0.085</v>
      </c>
      <c r="I58" s="16">
        <v>0.085</v>
      </c>
      <c r="J58" s="16">
        <v>0.085</v>
      </c>
      <c r="K58" s="16">
        <v>0.085</v>
      </c>
      <c r="L58" s="16">
        <v>0.085</v>
      </c>
      <c r="M58" s="16">
        <v>0.085</v>
      </c>
      <c r="N58" s="16">
        <v>0.085</v>
      </c>
      <c r="O58" s="16">
        <v>0.085</v>
      </c>
      <c r="P58" s="16">
        <v>0.085</v>
      </c>
    </row>
    <row r="59" spans="1:16" ht="10.5">
      <c r="A59" s="12">
        <f>A58+1</f>
        <v>2</v>
      </c>
      <c r="B59" s="12" t="s">
        <v>42</v>
      </c>
      <c r="C59" s="2"/>
      <c r="D59" s="16">
        <v>0.08</v>
      </c>
      <c r="E59" s="16">
        <v>0.08</v>
      </c>
      <c r="F59" s="16">
        <v>0.08</v>
      </c>
      <c r="G59" s="16">
        <v>0.08</v>
      </c>
      <c r="H59" s="16">
        <v>0.08</v>
      </c>
      <c r="I59" s="16">
        <v>0.08</v>
      </c>
      <c r="J59" s="16">
        <v>0.08</v>
      </c>
      <c r="K59" s="16">
        <v>0.08</v>
      </c>
      <c r="L59" s="16">
        <v>0.08</v>
      </c>
      <c r="M59" s="16">
        <v>0.08</v>
      </c>
      <c r="N59" s="16">
        <v>0.08</v>
      </c>
      <c r="O59" s="16">
        <v>0.08</v>
      </c>
      <c r="P59" s="16">
        <v>0.08</v>
      </c>
    </row>
    <row r="60" spans="1:16" ht="10.5">
      <c r="A60" s="12">
        <f>A59+1</f>
        <v>3</v>
      </c>
      <c r="B60" s="12" t="s">
        <v>43</v>
      </c>
      <c r="C60" s="2"/>
      <c r="D60" s="1">
        <v>0.65</v>
      </c>
      <c r="E60" s="1">
        <v>0.65</v>
      </c>
      <c r="F60" s="1">
        <v>0.65</v>
      </c>
      <c r="G60" s="1">
        <v>0.65</v>
      </c>
      <c r="H60" s="1">
        <v>0.65</v>
      </c>
      <c r="I60" s="1">
        <v>0.65</v>
      </c>
      <c r="J60" s="1">
        <v>0.65</v>
      </c>
      <c r="K60" s="1">
        <v>0.65</v>
      </c>
      <c r="L60" s="1">
        <v>0.65</v>
      </c>
      <c r="M60" s="1">
        <v>0.65</v>
      </c>
      <c r="N60" s="1">
        <v>0.65</v>
      </c>
      <c r="O60" s="1">
        <v>0.65</v>
      </c>
      <c r="P60" s="1">
        <v>0.65</v>
      </c>
    </row>
    <row r="61" spans="1:16" ht="10.5">
      <c r="A61" s="12">
        <v>4</v>
      </c>
      <c r="B61" s="12" t="s">
        <v>55</v>
      </c>
      <c r="C61" s="2"/>
      <c r="D61" s="1">
        <f>(D53-D58)/D59</f>
        <v>0.4481241699867197</v>
      </c>
      <c r="E61" s="1">
        <f>(E53-E58)/E59</f>
        <v>0.45308808275226176</v>
      </c>
      <c r="F61" s="1">
        <f>(F53-F58)/F59</f>
        <v>0.4602371312897627</v>
      </c>
      <c r="G61" s="1">
        <f>(G53-G58)/G59</f>
        <v>0.46967363292260594</v>
      </c>
      <c r="H61" s="1">
        <f>(H53-H58)/H59</f>
        <v>0.48404865598951</v>
      </c>
      <c r="I61" s="1">
        <f>(I53-I58)/I59</f>
        <v>0.5017972164711294</v>
      </c>
      <c r="J61" s="1">
        <f>(J53-J58)/J59</f>
        <v>0.5339189510378703</v>
      </c>
      <c r="K61" s="1">
        <f>(K53-K58)/K59</f>
        <v>0.6872844208105777</v>
      </c>
      <c r="L61" s="1">
        <f>(L53-L58)/L59</f>
        <v>0.6992449664429529</v>
      </c>
      <c r="M61" s="1">
        <f>(M53-M58)/M59</f>
        <v>-1.0625</v>
      </c>
      <c r="N61" s="1">
        <f>(N53-N58)/N59</f>
        <v>-1.0625</v>
      </c>
      <c r="O61" s="1">
        <f>(O53-O58)/O59</f>
        <v>-1.0625</v>
      </c>
      <c r="P61" s="1">
        <f>(P53-P58)/P59</f>
        <v>-1.0625</v>
      </c>
    </row>
    <row r="62" spans="1:16" ht="12" customHeight="1">
      <c r="A62" s="12">
        <v>5</v>
      </c>
      <c r="B62" s="12" t="s">
        <v>44</v>
      </c>
      <c r="C62" s="2"/>
      <c r="D62" s="1">
        <f>(D$60*(C$66+C$68*0.66)-D$61*C$68*0.66)/C$66</f>
        <v>0.8520704905193758</v>
      </c>
      <c r="E62" s="1">
        <f aca="true" t="shared" si="27" ref="E62:P62">(E$60*(D$66+D$68*0.66)-E$61*D$68*0.66)/D$66</f>
        <v>0.7906761380165641</v>
      </c>
      <c r="F62" s="1">
        <f t="shared" si="27"/>
        <v>0.7441113481113535</v>
      </c>
      <c r="G62" s="1">
        <f t="shared" si="27"/>
        <v>0.7201455092780552</v>
      </c>
      <c r="H62" s="1">
        <f t="shared" si="27"/>
        <v>0.6985804019678075</v>
      </c>
      <c r="I62" s="1">
        <f t="shared" si="27"/>
        <v>0.6809650160900516</v>
      </c>
      <c r="J62" s="1">
        <f t="shared" si="27"/>
        <v>0.6654506769463753</v>
      </c>
      <c r="K62" s="1">
        <f t="shared" si="27"/>
        <v>0.6475965299260814</v>
      </c>
      <c r="L62" s="1">
        <f t="shared" si="27"/>
        <v>0.6498804022149505</v>
      </c>
      <c r="M62" s="1">
        <f t="shared" si="27"/>
        <v>0.65</v>
      </c>
      <c r="N62" s="1">
        <f t="shared" si="27"/>
        <v>0.65</v>
      </c>
      <c r="O62" s="1">
        <f t="shared" si="27"/>
        <v>0.65</v>
      </c>
      <c r="P62" s="1">
        <f t="shared" si="27"/>
        <v>0.65</v>
      </c>
    </row>
    <row r="63" spans="1:16" ht="12" customHeight="1">
      <c r="A63" s="12">
        <v>6</v>
      </c>
      <c r="B63" s="12" t="s">
        <v>45</v>
      </c>
      <c r="C63" s="2"/>
      <c r="D63" s="5">
        <f aca="true" t="shared" si="28" ref="D63:P63">D58+D59*D62</f>
        <v>0.15316563924155008</v>
      </c>
      <c r="E63" s="5">
        <f t="shared" si="28"/>
        <v>0.14825409104132514</v>
      </c>
      <c r="F63" s="5">
        <f t="shared" si="28"/>
        <v>0.1445289078489083</v>
      </c>
      <c r="G63" s="5">
        <f t="shared" si="28"/>
        <v>0.14261164074224442</v>
      </c>
      <c r="H63" s="5">
        <f t="shared" si="28"/>
        <v>0.1408864321574246</v>
      </c>
      <c r="I63" s="5">
        <f t="shared" si="28"/>
        <v>0.13947720128720414</v>
      </c>
      <c r="J63" s="5">
        <f t="shared" si="28"/>
        <v>0.13823605415571003</v>
      </c>
      <c r="K63" s="5">
        <f t="shared" si="28"/>
        <v>0.1368077223940865</v>
      </c>
      <c r="L63" s="5">
        <f t="shared" si="28"/>
        <v>0.13699043217719603</v>
      </c>
      <c r="M63" s="5">
        <f t="shared" si="28"/>
        <v>0.137</v>
      </c>
      <c r="N63" s="5">
        <f t="shared" si="28"/>
        <v>0.137</v>
      </c>
      <c r="O63" s="5">
        <f t="shared" si="28"/>
        <v>0.137</v>
      </c>
      <c r="P63" s="5">
        <f t="shared" si="28"/>
        <v>0.137</v>
      </c>
    </row>
    <row r="64" spans="2:16" ht="12" customHeight="1" hidden="1">
      <c r="B64" s="12" t="s">
        <v>46</v>
      </c>
      <c r="C64" s="2"/>
      <c r="D64" s="2">
        <f>(1+D63)</f>
        <v>1.1531656392415501</v>
      </c>
      <c r="E64" s="2">
        <f aca="true" t="shared" si="29" ref="E64:P64">(1+E63)*D64</f>
        <v>1.324127162907395</v>
      </c>
      <c r="F64" s="2">
        <f t="shared" si="29"/>
        <v>1.5155018156154743</v>
      </c>
      <c r="G64" s="2">
        <f t="shared" si="29"/>
        <v>1.7316300160882474</v>
      </c>
      <c r="H64" s="2">
        <f t="shared" si="29"/>
        <v>1.9755931908716242</v>
      </c>
      <c r="I64" s="2">
        <f t="shared" si="29"/>
        <v>2.2511434000164554</v>
      </c>
      <c r="J64" s="2">
        <f t="shared" si="29"/>
        <v>2.562332580973399</v>
      </c>
      <c r="K64" s="2">
        <f t="shared" si="29"/>
        <v>2.912879465392531</v>
      </c>
      <c r="L64" s="2">
        <f t="shared" si="29"/>
        <v>3.3119160822367335</v>
      </c>
      <c r="M64" s="2">
        <f t="shared" si="29"/>
        <v>3.765648585503166</v>
      </c>
      <c r="N64" s="2">
        <f t="shared" si="29"/>
        <v>4.2815424417171</v>
      </c>
      <c r="O64" s="2">
        <f t="shared" si="29"/>
        <v>4.868113756232343</v>
      </c>
      <c r="P64" s="2">
        <f t="shared" si="29"/>
        <v>5.535045340836174</v>
      </c>
    </row>
    <row r="65" spans="2:17" ht="12" customHeight="1" hidden="1">
      <c r="B65" s="12" t="s">
        <v>47</v>
      </c>
      <c r="C65" s="2"/>
      <c r="D65" s="2">
        <f aca="true" t="shared" si="30" ref="D65:O65">(D57)/D64</f>
        <v>0</v>
      </c>
      <c r="E65" s="2">
        <f t="shared" si="30"/>
        <v>0.3171900794466567</v>
      </c>
      <c r="F65" s="2">
        <f t="shared" si="30"/>
        <v>0.15836338665324562</v>
      </c>
      <c r="G65" s="2">
        <f t="shared" si="30"/>
        <v>0.1847969814722988</v>
      </c>
      <c r="H65" s="2">
        <f t="shared" si="30"/>
        <v>0.21259437516828572</v>
      </c>
      <c r="I65" s="2">
        <f t="shared" si="30"/>
        <v>-0.053306244284132984</v>
      </c>
      <c r="J65" s="2">
        <f t="shared" si="30"/>
        <v>0.03902694003989141</v>
      </c>
      <c r="K65" s="2">
        <f t="shared" si="30"/>
        <v>0.16478539730269273</v>
      </c>
      <c r="L65" s="2">
        <f t="shared" si="30"/>
        <v>1147.7464723178605</v>
      </c>
      <c r="M65" s="2">
        <f t="shared" si="30"/>
        <v>1147.032151812661</v>
      </c>
      <c r="N65" s="2">
        <f t="shared" si="30"/>
        <v>1086.2819984413711</v>
      </c>
      <c r="O65" s="2">
        <f t="shared" si="30"/>
        <v>1029.581762403003</v>
      </c>
      <c r="P65" s="2">
        <f>(P57+Q65)/P64</f>
        <v>9490.369007394049</v>
      </c>
      <c r="Q65" s="12">
        <f>P57*1.02/(P63-0.02)</f>
        <v>47124.19983494838</v>
      </c>
    </row>
    <row r="66" spans="1:16" ht="12" customHeight="1">
      <c r="A66" s="12">
        <v>7</v>
      </c>
      <c r="B66" s="8" t="s">
        <v>67</v>
      </c>
      <c r="C66" s="17">
        <f>SUM(D65:P65)</f>
        <v>13902.034843284742</v>
      </c>
      <c r="D66" s="7">
        <f aca="true" t="shared" si="31" ref="D66:P66">C66*(1+D63)-(D57)</f>
        <v>16031.348896814752</v>
      </c>
      <c r="E66" s="7">
        <f t="shared" si="31"/>
        <v>18407.641955678373</v>
      </c>
      <c r="F66" s="7">
        <f t="shared" si="31"/>
        <v>21067.83834360631</v>
      </c>
      <c r="G66" s="7">
        <f t="shared" si="31"/>
        <v>24072.037336680372</v>
      </c>
      <c r="H66" s="7">
        <f t="shared" si="31"/>
        <v>27463.040791805586</v>
      </c>
      <c r="I66" s="7">
        <f t="shared" si="31"/>
        <v>31293.628860282948</v>
      </c>
      <c r="J66" s="7">
        <f t="shared" si="31"/>
        <v>35619.43663414171</v>
      </c>
      <c r="K66" s="7">
        <f t="shared" si="31"/>
        <v>40491.970633019126</v>
      </c>
      <c r="L66" s="7">
        <f t="shared" si="31"/>
        <v>42237.743189742745</v>
      </c>
      <c r="M66" s="7">
        <f t="shared" si="31"/>
        <v>43704.9940067375</v>
      </c>
      <c r="N66" s="7">
        <f t="shared" si="31"/>
        <v>45041.61570566054</v>
      </c>
      <c r="O66" s="7">
        <f t="shared" si="31"/>
        <v>46200.19591661604</v>
      </c>
      <c r="P66" s="7">
        <f t="shared" si="31"/>
        <v>47124.199834948355</v>
      </c>
    </row>
    <row r="67" spans="3:16" ht="12" customHeight="1" hidden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" customHeight="1">
      <c r="A68" s="12">
        <v>8</v>
      </c>
      <c r="B68" s="12" t="s">
        <v>49</v>
      </c>
      <c r="C68" s="2">
        <f aca="true" t="shared" si="32" ref="C68:P68">C52</f>
        <v>21084</v>
      </c>
      <c r="D68" s="2">
        <f t="shared" si="32"/>
        <v>17353</v>
      </c>
      <c r="E68" s="2">
        <f t="shared" si="32"/>
        <v>13832</v>
      </c>
      <c r="F68" s="2">
        <f t="shared" si="32"/>
        <v>12417</v>
      </c>
      <c r="G68" s="2">
        <f t="shared" si="32"/>
        <v>10677</v>
      </c>
      <c r="H68" s="2">
        <f t="shared" si="32"/>
        <v>8694</v>
      </c>
      <c r="I68" s="2">
        <f t="shared" si="32"/>
        <v>6311</v>
      </c>
      <c r="J68" s="2">
        <f t="shared" si="32"/>
        <v>3479</v>
      </c>
      <c r="K68" s="2">
        <f t="shared" si="32"/>
        <v>149</v>
      </c>
      <c r="L68" s="2">
        <f t="shared" si="32"/>
        <v>0</v>
      </c>
      <c r="M68" s="2">
        <f t="shared" si="32"/>
        <v>0</v>
      </c>
      <c r="N68" s="2">
        <f t="shared" si="32"/>
        <v>0</v>
      </c>
      <c r="O68" s="2">
        <f t="shared" si="32"/>
        <v>0</v>
      </c>
      <c r="P68" s="2">
        <f t="shared" si="32"/>
        <v>0</v>
      </c>
    </row>
    <row r="69" spans="1:16" ht="12" customHeight="1">
      <c r="A69" s="12">
        <v>9</v>
      </c>
      <c r="B69" s="8" t="s">
        <v>68</v>
      </c>
      <c r="C69" s="17">
        <f>C66+C68</f>
        <v>34986.03484328474</v>
      </c>
      <c r="D69" s="7">
        <f aca="true" t="shared" si="33" ref="D69:P69">D66+D68</f>
        <v>33384.34889681475</v>
      </c>
      <c r="E69" s="7">
        <f t="shared" si="33"/>
        <v>32239.641955678373</v>
      </c>
      <c r="F69" s="7">
        <f t="shared" si="33"/>
        <v>33484.83834360631</v>
      </c>
      <c r="G69" s="7">
        <f t="shared" si="33"/>
        <v>34749.03733668037</v>
      </c>
      <c r="H69" s="7">
        <f t="shared" si="33"/>
        <v>36157.040791805586</v>
      </c>
      <c r="I69" s="7">
        <f t="shared" si="33"/>
        <v>37604.628860282945</v>
      </c>
      <c r="J69" s="7">
        <f t="shared" si="33"/>
        <v>39098.43663414171</v>
      </c>
      <c r="K69" s="7">
        <f t="shared" si="33"/>
        <v>40640.970633019126</v>
      </c>
      <c r="L69" s="7">
        <f t="shared" si="33"/>
        <v>42237.743189742745</v>
      </c>
      <c r="M69" s="7">
        <f t="shared" si="33"/>
        <v>43704.9940067375</v>
      </c>
      <c r="N69" s="7">
        <f t="shared" si="33"/>
        <v>45041.61570566054</v>
      </c>
      <c r="O69" s="7">
        <f t="shared" si="33"/>
        <v>46200.19591661604</v>
      </c>
      <c r="P69" s="7">
        <f t="shared" si="33"/>
        <v>47124.199834948355</v>
      </c>
    </row>
    <row r="70" spans="2:16" ht="12" customHeight="1"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6" s="11" customFormat="1" ht="10.5" hidden="1">
      <c r="B71" s="13" t="s">
        <v>0</v>
      </c>
      <c r="C71" s="11">
        <v>1988</v>
      </c>
      <c r="D71" s="11">
        <f aca="true" t="shared" si="34" ref="D71:P71">C71+1</f>
        <v>1989</v>
      </c>
      <c r="E71" s="11">
        <f t="shared" si="34"/>
        <v>1990</v>
      </c>
      <c r="F71" s="11">
        <f t="shared" si="34"/>
        <v>1991</v>
      </c>
      <c r="G71" s="11">
        <f t="shared" si="34"/>
        <v>1992</v>
      </c>
      <c r="H71" s="11">
        <f t="shared" si="34"/>
        <v>1993</v>
      </c>
      <c r="I71" s="11">
        <f t="shared" si="34"/>
        <v>1994</v>
      </c>
      <c r="J71" s="11">
        <f t="shared" si="34"/>
        <v>1995</v>
      </c>
      <c r="K71" s="11">
        <f t="shared" si="34"/>
        <v>1996</v>
      </c>
      <c r="L71" s="11">
        <f t="shared" si="34"/>
        <v>1997</v>
      </c>
      <c r="M71" s="19">
        <f t="shared" si="34"/>
        <v>1998</v>
      </c>
      <c r="N71" s="11">
        <f t="shared" si="34"/>
        <v>1999</v>
      </c>
      <c r="O71" s="11">
        <f t="shared" si="34"/>
        <v>2000</v>
      </c>
      <c r="P71" s="11">
        <f t="shared" si="34"/>
        <v>2001</v>
      </c>
    </row>
    <row r="72" spans="1:16" ht="10.5">
      <c r="A72" s="12">
        <v>10</v>
      </c>
      <c r="B72" s="12" t="s">
        <v>50</v>
      </c>
      <c r="C72" s="2"/>
      <c r="D72" s="5">
        <f aca="true" t="shared" si="35" ref="D72:P72">D53</f>
        <v>0.12084993359893759</v>
      </c>
      <c r="E72" s="5">
        <f t="shared" si="35"/>
        <v>0.12124704662018095</v>
      </c>
      <c r="F72" s="5">
        <f t="shared" si="35"/>
        <v>0.12181897050318102</v>
      </c>
      <c r="G72" s="5">
        <f t="shared" si="35"/>
        <v>0.12257389063380848</v>
      </c>
      <c r="H72" s="5">
        <f t="shared" si="35"/>
        <v>0.12372389247916081</v>
      </c>
      <c r="I72" s="5">
        <f t="shared" si="35"/>
        <v>0.12514377731769036</v>
      </c>
      <c r="J72" s="5">
        <f t="shared" si="35"/>
        <v>0.12771351608302964</v>
      </c>
      <c r="K72" s="5">
        <f t="shared" si="35"/>
        <v>0.13998275366484622</v>
      </c>
      <c r="L72" s="5">
        <f t="shared" si="35"/>
        <v>0.14093959731543623</v>
      </c>
      <c r="M72" s="5">
        <f t="shared" si="35"/>
        <v>0</v>
      </c>
      <c r="N72" s="5">
        <f t="shared" si="35"/>
        <v>0</v>
      </c>
      <c r="O72" s="5">
        <f t="shared" si="35"/>
        <v>0</v>
      </c>
      <c r="P72" s="5">
        <f t="shared" si="35"/>
        <v>0</v>
      </c>
    </row>
    <row r="73" spans="1:16" ht="10.5">
      <c r="A73" s="12">
        <v>11</v>
      </c>
      <c r="B73" s="12" t="s">
        <v>51</v>
      </c>
      <c r="C73" s="2"/>
      <c r="D73" s="5">
        <f>(D63*(C66)-D38*0.34+D72*0.66*C68)/C69</f>
        <v>0.10692706590750033</v>
      </c>
      <c r="E73" s="5">
        <f>(E63*(D66)-E38*0.34+E72*0.66*D68)/D69</f>
        <v>0.11037426760224132</v>
      </c>
      <c r="F73" s="5">
        <f>(F63*(E66)-F38*0.34+F72*0.66*E68)/E69</f>
        <v>0.11372509635710033</v>
      </c>
      <c r="G73" s="5">
        <f>(G63*(F66)-G38*0.34+G72*0.66*F68)/F69</f>
        <v>0.11601068379700871</v>
      </c>
      <c r="H73" s="5">
        <f>(H63*(G66)-H38*0.34+H72*0.66*G68)/G69</f>
        <v>0.12268781473911444</v>
      </c>
      <c r="I73" s="5">
        <f>(I63*(H66)-I38*0.34+I72*0.66*H68)/H69</f>
        <v>0.12579978805976352</v>
      </c>
      <c r="J73" s="5">
        <f>(J63*(I66)-J38*0.34+J72*0.66*I68)/I69</f>
        <v>0.12918270758389325</v>
      </c>
      <c r="K73" s="5">
        <f>(K63*(J66)-K38*0.34+K72*0.66*J68)/J69</f>
        <v>0.132855286452592</v>
      </c>
      <c r="L73" s="5">
        <f>(L63*(K66)-L38*0.34+L72*0.66*K68)/K69</f>
        <v>0.1368292260275309</v>
      </c>
      <c r="M73" s="5">
        <f>(M63*(L66)-M38*0.34+M72*0.66*L68)/L69</f>
        <v>0.137</v>
      </c>
      <c r="N73" s="5">
        <f>(N63*(M66)-N38*0.34+N72*0.66*M68)/M69</f>
        <v>0.137</v>
      </c>
      <c r="O73" s="5">
        <f>(O63*(N66)-O38*0.34+O72*0.66*N68)/N69</f>
        <v>0.137</v>
      </c>
      <c r="P73" s="5">
        <f>(P63*(O66)-P38*0.34+P72*0.66*O68)/O69</f>
        <v>0.137</v>
      </c>
    </row>
    <row r="74" spans="2:16" ht="10.5" hidden="1">
      <c r="B74" s="12" t="s">
        <v>52</v>
      </c>
      <c r="C74" s="2"/>
      <c r="D74" s="2">
        <f>(1+D73)</f>
        <v>1.1069270659075003</v>
      </c>
      <c r="E74" s="2">
        <f aca="true" t="shared" si="36" ref="E74:P74">(1+E73)*D74</f>
        <v>1.2291033300961385</v>
      </c>
      <c r="F74" s="2">
        <f t="shared" si="36"/>
        <v>1.3688832247441547</v>
      </c>
      <c r="G74" s="2">
        <f t="shared" si="36"/>
        <v>1.5276883036849784</v>
      </c>
      <c r="H74" s="2">
        <f t="shared" si="36"/>
        <v>1.715117043266593</v>
      </c>
      <c r="I74" s="2">
        <f t="shared" si="36"/>
        <v>1.9308784038072184</v>
      </c>
      <c r="J74" s="2">
        <f t="shared" si="36"/>
        <v>2.180314504026301</v>
      </c>
      <c r="K74" s="2">
        <f t="shared" si="36"/>
        <v>2.4699808120154563</v>
      </c>
      <c r="L74" s="2">
        <f t="shared" si="36"/>
        <v>2.8079463748263835</v>
      </c>
      <c r="M74" s="2">
        <f t="shared" si="36"/>
        <v>3.192635028177598</v>
      </c>
      <c r="N74" s="2">
        <f t="shared" si="36"/>
        <v>3.630026027037929</v>
      </c>
      <c r="O74" s="2">
        <f t="shared" si="36"/>
        <v>4.127339592742126</v>
      </c>
      <c r="P74" s="2">
        <f t="shared" si="36"/>
        <v>4.692785116947797</v>
      </c>
    </row>
    <row r="75" spans="2:17" ht="10.5" hidden="1">
      <c r="B75" s="12" t="s">
        <v>53</v>
      </c>
      <c r="C75" s="2"/>
      <c r="D75" s="2">
        <f>D47/D74</f>
        <v>4826.551057020097</v>
      </c>
      <c r="E75" s="2">
        <f>E47/E74</f>
        <v>3929.270942274842</v>
      </c>
      <c r="F75" s="2">
        <f>F47/F74</f>
        <v>1768.7849162243444</v>
      </c>
      <c r="G75" s="2">
        <f>G47/G74</f>
        <v>1715.271363719459</v>
      </c>
      <c r="H75" s="2">
        <f>H47/H74</f>
        <v>1664.7726819633635</v>
      </c>
      <c r="I75" s="2">
        <f>I47/I74</f>
        <v>1605.9840919478243</v>
      </c>
      <c r="J75" s="2">
        <f>J47/J74</f>
        <v>1542.9241945543743</v>
      </c>
      <c r="K75" s="2">
        <f>K47/K74</f>
        <v>1478.5135099977235</v>
      </c>
      <c r="L75" s="2">
        <f>L47/L74</f>
        <v>1411.743484682859</v>
      </c>
      <c r="M75" s="2">
        <f>M47/M74</f>
        <v>1352.9012749276042</v>
      </c>
      <c r="N75" s="2">
        <f>N47/N74</f>
        <v>1281.2476950186349</v>
      </c>
      <c r="O75" s="2">
        <f>O47/O74</f>
        <v>1214.3709108728901</v>
      </c>
      <c r="P75" s="2">
        <f>(P47+Q75)/P74</f>
        <v>11193.69872008073</v>
      </c>
      <c r="Q75" s="12">
        <f>P47*1.02/(P73-0.02)</f>
        <v>47124.19983494838</v>
      </c>
    </row>
    <row r="76" spans="1:17" ht="10.5">
      <c r="A76" s="12">
        <v>12</v>
      </c>
      <c r="B76" s="8" t="s">
        <v>72</v>
      </c>
      <c r="C76" s="17">
        <f>SUM(D75:P75)</f>
        <v>34986.034843284746</v>
      </c>
      <c r="D76" s="7">
        <f>C76*(1+D73)-D47</f>
        <v>33384.34889681476</v>
      </c>
      <c r="E76" s="7">
        <f>D76*(1+E73)-E47</f>
        <v>32239.641955678377</v>
      </c>
      <c r="F76" s="7">
        <f>E76*(1+F73)-F47</f>
        <v>33484.838343606316</v>
      </c>
      <c r="G76" s="7">
        <f>F76*(1+G73)-G47</f>
        <v>34749.03733668038</v>
      </c>
      <c r="H76" s="7">
        <f>G76*(1+H73)-H47</f>
        <v>36157.04079180559</v>
      </c>
      <c r="I76" s="7">
        <f>H76*(1+I73)-I47</f>
        <v>37604.62886028296</v>
      </c>
      <c r="J76" s="7">
        <f>I76*(1+J73)-J47</f>
        <v>39098.436634141726</v>
      </c>
      <c r="K76" s="7">
        <f>J76*(1+K73)-K47</f>
        <v>40640.97063301914</v>
      </c>
      <c r="L76" s="7">
        <f>K76*(1+L73)-L47</f>
        <v>42237.74318974277</v>
      </c>
      <c r="M76" s="7">
        <f>L76*(1+M73)-M47</f>
        <v>43704.99400673753</v>
      </c>
      <c r="N76" s="7">
        <f>M76*(1+N73)-N47</f>
        <v>45041.615705660566</v>
      </c>
      <c r="O76" s="7">
        <f>N76*(1+O73)-O47</f>
        <v>46200.19591661607</v>
      </c>
      <c r="P76" s="7">
        <f>O76*(1+P73)-P47</f>
        <v>47124.19983494839</v>
      </c>
      <c r="Q76" s="8"/>
    </row>
    <row r="77" spans="3:16" ht="10.5">
      <c r="C77" s="2"/>
      <c r="D77" s="2"/>
      <c r="E77" s="2"/>
      <c r="F77" s="2"/>
      <c r="G77" s="2"/>
      <c r="H77" s="2"/>
      <c r="I77" s="2"/>
      <c r="J77" s="2"/>
      <c r="K77" s="2"/>
      <c r="L77" s="2"/>
      <c r="M77" s="15"/>
      <c r="N77" s="2"/>
      <c r="O77" s="2"/>
      <c r="P77" s="2"/>
    </row>
    <row r="78" spans="1:17" ht="10.5">
      <c r="A78" s="14">
        <v>13</v>
      </c>
      <c r="B78" s="14" t="s">
        <v>56</v>
      </c>
      <c r="C78" s="15"/>
      <c r="D78" s="21">
        <f>D58+D59*D60</f>
        <v>0.137</v>
      </c>
      <c r="E78" s="21">
        <f aca="true" t="shared" si="37" ref="E78:P78">E58+E59*E60</f>
        <v>0.137</v>
      </c>
      <c r="F78" s="21">
        <f t="shared" si="37"/>
        <v>0.137</v>
      </c>
      <c r="G78" s="21">
        <f t="shared" si="37"/>
        <v>0.137</v>
      </c>
      <c r="H78" s="21">
        <f t="shared" si="37"/>
        <v>0.137</v>
      </c>
      <c r="I78" s="21">
        <f t="shared" si="37"/>
        <v>0.137</v>
      </c>
      <c r="J78" s="21">
        <f t="shared" si="37"/>
        <v>0.137</v>
      </c>
      <c r="K78" s="21">
        <f t="shared" si="37"/>
        <v>0.137</v>
      </c>
      <c r="L78" s="21">
        <f t="shared" si="37"/>
        <v>0.137</v>
      </c>
      <c r="M78" s="21">
        <f t="shared" si="37"/>
        <v>0.137</v>
      </c>
      <c r="N78" s="21">
        <f t="shared" si="37"/>
        <v>0.137</v>
      </c>
      <c r="O78" s="21">
        <f t="shared" si="37"/>
        <v>0.137</v>
      </c>
      <c r="P78" s="21">
        <f t="shared" si="37"/>
        <v>0.137</v>
      </c>
      <c r="Q78" s="5">
        <f>P78</f>
        <v>0.137</v>
      </c>
    </row>
    <row r="79" spans="1:17" ht="10.5">
      <c r="A79" s="14">
        <v>14</v>
      </c>
      <c r="B79" s="14" t="s">
        <v>39</v>
      </c>
      <c r="C79" s="15"/>
      <c r="D79" s="22">
        <f aca="true" t="shared" si="38" ref="D79:P79">D47</f>
        <v>5342.64</v>
      </c>
      <c r="E79" s="22">
        <f t="shared" si="38"/>
        <v>4829.4800000000005</v>
      </c>
      <c r="F79" s="22">
        <f t="shared" si="38"/>
        <v>2421.26</v>
      </c>
      <c r="G79" s="22">
        <f t="shared" si="38"/>
        <v>2620.4</v>
      </c>
      <c r="H79" s="22">
        <f t="shared" si="38"/>
        <v>2855.28</v>
      </c>
      <c r="I79" s="22">
        <f t="shared" si="38"/>
        <v>3100.96</v>
      </c>
      <c r="J79" s="22">
        <f t="shared" si="38"/>
        <v>3364.06</v>
      </c>
      <c r="K79" s="22">
        <f t="shared" si="38"/>
        <v>3651.8999999999996</v>
      </c>
      <c r="L79" s="22">
        <f t="shared" si="38"/>
        <v>3964.1</v>
      </c>
      <c r="M79" s="22">
        <f t="shared" si="38"/>
        <v>4319.32</v>
      </c>
      <c r="N79" s="22">
        <f t="shared" si="38"/>
        <v>4650.962479999999</v>
      </c>
      <c r="O79" s="22">
        <f t="shared" si="38"/>
        <v>5012.121140719999</v>
      </c>
      <c r="P79" s="22">
        <f t="shared" si="38"/>
        <v>5405.422922244079</v>
      </c>
      <c r="Q79" s="12">
        <f>P79*1.02/(P78-0.02)*(1+P78)</f>
        <v>53580.215212336305</v>
      </c>
    </row>
    <row r="80" spans="1:16" ht="10.5">
      <c r="A80" s="14">
        <v>15</v>
      </c>
      <c r="B80" s="8" t="s">
        <v>62</v>
      </c>
      <c r="C80" s="17">
        <f>NPV(D78,D79:$Q79)</f>
        <v>31813.022615395024</v>
      </c>
      <c r="D80" s="7">
        <f>NPV(E78,E79:$Q79)</f>
        <v>30828.766713704143</v>
      </c>
      <c r="E80" s="7">
        <f>NPV(F78,F79:$Q79)</f>
        <v>30222.827753481615</v>
      </c>
      <c r="F80" s="7">
        <f>NPV(G78,G79:$Q79)</f>
        <v>31942.095155708597</v>
      </c>
      <c r="G80" s="7">
        <f>NPV(H78,H79:$Q79)</f>
        <v>33697.762192040675</v>
      </c>
      <c r="H80" s="7">
        <f>NPV(I78,I79:$Q79)</f>
        <v>35459.07561235024</v>
      </c>
      <c r="I80" s="7">
        <f>NPV(J78,J79:$Q79)</f>
        <v>37216.008971242234</v>
      </c>
      <c r="J80" s="7">
        <f>NPV(K78,K79:$Q79)</f>
        <v>38950.542200302414</v>
      </c>
      <c r="K80" s="7">
        <f>NPV(L78,L79:$Q79)</f>
        <v>40634.86648174385</v>
      </c>
      <c r="L80" s="7">
        <f>NPV(M78,M79:$Q79)</f>
        <v>42237.74318974275</v>
      </c>
      <c r="M80" s="7">
        <f>NPV(N78,N79:$Q79)</f>
        <v>43704.99400673752</v>
      </c>
      <c r="N80" s="7">
        <f>NPV(O78,O79:$Q79)</f>
        <v>45041.61570566056</v>
      </c>
      <c r="O80" s="7">
        <f>NPV(P78,P79:$Q79)</f>
        <v>46200.19591661605</v>
      </c>
      <c r="P80" s="7">
        <f>NPV(Q78,Q79:$Q79)</f>
        <v>47124.19983494838</v>
      </c>
    </row>
    <row r="81" spans="1:16" ht="10.5">
      <c r="A81" s="14">
        <v>16</v>
      </c>
      <c r="B81" s="14" t="s">
        <v>57</v>
      </c>
      <c r="C81" s="23"/>
      <c r="D81" s="15">
        <f aca="true" t="shared" si="39" ref="D81:P81">C68*0.34*D78</f>
        <v>982.0927200000001</v>
      </c>
      <c r="E81" s="15">
        <f t="shared" si="39"/>
        <v>808.3027400000001</v>
      </c>
      <c r="F81" s="15">
        <f t="shared" si="39"/>
        <v>644.29456</v>
      </c>
      <c r="G81" s="15">
        <f t="shared" si="39"/>
        <v>578.3838600000001</v>
      </c>
      <c r="H81" s="15">
        <f t="shared" si="39"/>
        <v>497.3346600000001</v>
      </c>
      <c r="I81" s="15">
        <f t="shared" si="39"/>
        <v>404.96652000000006</v>
      </c>
      <c r="J81" s="15">
        <f t="shared" si="39"/>
        <v>293.9663800000001</v>
      </c>
      <c r="K81" s="15">
        <f t="shared" si="39"/>
        <v>162.05182000000002</v>
      </c>
      <c r="L81" s="15">
        <f t="shared" si="39"/>
        <v>6.940420000000001</v>
      </c>
      <c r="M81" s="15">
        <f t="shared" si="39"/>
        <v>0</v>
      </c>
      <c r="N81" s="15">
        <f t="shared" si="39"/>
        <v>0</v>
      </c>
      <c r="O81" s="15">
        <f t="shared" si="39"/>
        <v>0</v>
      </c>
      <c r="P81" s="15">
        <f t="shared" si="39"/>
        <v>0</v>
      </c>
    </row>
    <row r="82" spans="1:16" ht="10.5">
      <c r="A82" s="14">
        <v>17</v>
      </c>
      <c r="B82" s="8" t="s">
        <v>63</v>
      </c>
      <c r="C82" s="17">
        <f>NPV(D78,D81:$N81)</f>
        <v>2902.451803458294</v>
      </c>
      <c r="D82" s="7">
        <f>NPV(E78,E81:$N81)</f>
        <v>2317.9949805320807</v>
      </c>
      <c r="E82" s="7">
        <f>NPV(F78,F81:$N81)</f>
        <v>1827.2575528649757</v>
      </c>
      <c r="F82" s="7">
        <f>NPV(G78,G81:$N81)</f>
        <v>1433.2972776074776</v>
      </c>
      <c r="G82" s="7">
        <f>NPV(H78,H81:$N81)</f>
        <v>1051.275144639702</v>
      </c>
      <c r="H82" s="7">
        <f>NPV(I78,I81:$N81)</f>
        <v>697.965179455341</v>
      </c>
      <c r="I82" s="7">
        <f>NPV(J78,J81:$N81)</f>
        <v>388.6198890407226</v>
      </c>
      <c r="J82" s="7">
        <f>NPV(K78,K81:$N81)</f>
        <v>147.89443383930154</v>
      </c>
      <c r="K82" s="7">
        <f>NPV(L78,L81:$N81)</f>
        <v>6.104151275285841</v>
      </c>
      <c r="L82" s="7">
        <f>NPV(M78,M81:$N81)</f>
        <v>0</v>
      </c>
      <c r="M82" s="7">
        <f>NPV(N78,N81:$N81)</f>
        <v>0</v>
      </c>
      <c r="N82" s="7">
        <f>NPV(O78,$N81:O81)</f>
        <v>0</v>
      </c>
      <c r="O82" s="7">
        <f>NPV(P78,$N81:P81)</f>
        <v>0</v>
      </c>
      <c r="P82" s="7">
        <f>NPV(Q78,$N81:Q81)</f>
        <v>0</v>
      </c>
    </row>
    <row r="83" spans="1:16" s="14" customFormat="1" ht="10.5">
      <c r="A83" s="14">
        <v>18</v>
      </c>
      <c r="B83" s="14" t="s">
        <v>69</v>
      </c>
      <c r="C83" s="15"/>
      <c r="D83" s="15">
        <f aca="true" t="shared" si="40" ref="D83:I83">D38*0.34</f>
        <v>70.04</v>
      </c>
      <c r="E83" s="15">
        <f t="shared" si="40"/>
        <v>80.58000000000001</v>
      </c>
      <c r="F83" s="15">
        <f t="shared" si="40"/>
        <v>106.08000000000001</v>
      </c>
      <c r="G83" s="15">
        <f t="shared" si="40"/>
        <v>124.44000000000001</v>
      </c>
      <c r="H83" s="15">
        <f t="shared" si="40"/>
        <v>0</v>
      </c>
      <c r="I83" s="15">
        <f t="shared" si="40"/>
        <v>0</v>
      </c>
      <c r="J83" s="15"/>
      <c r="K83" s="15"/>
      <c r="L83" s="15"/>
      <c r="M83" s="15"/>
      <c r="N83" s="15"/>
      <c r="O83" s="15"/>
      <c r="P83" s="15"/>
    </row>
    <row r="84" spans="1:16" ht="10.5">
      <c r="A84" s="14">
        <v>19</v>
      </c>
      <c r="B84" s="8" t="s">
        <v>70</v>
      </c>
      <c r="C84" s="17">
        <f>NPV(D78,D83:H83)</f>
        <v>270.5604244314206</v>
      </c>
      <c r="D84" s="15">
        <f>NPV(E78,E83:I83)</f>
        <v>237.58720257852522</v>
      </c>
      <c r="E84" s="15">
        <f>NPV(F78,F83:J83)</f>
        <v>189.5566493317832</v>
      </c>
      <c r="F84" s="15">
        <f>NPV(G78,G83:K83)</f>
        <v>109.44591029023748</v>
      </c>
      <c r="G84" s="15">
        <f>NPV(H78,H83:L83)</f>
        <v>0</v>
      </c>
      <c r="H84" s="7"/>
      <c r="I84" s="7"/>
      <c r="J84" s="7"/>
      <c r="K84" s="7"/>
      <c r="L84" s="7"/>
      <c r="M84" s="7"/>
      <c r="N84" s="7"/>
      <c r="O84" s="7"/>
      <c r="P84" s="7"/>
    </row>
    <row r="85" spans="1:16" ht="11.25" thickBot="1">
      <c r="A85" s="14">
        <v>20</v>
      </c>
      <c r="B85" s="25" t="s">
        <v>71</v>
      </c>
      <c r="C85" s="26">
        <f>C80+C82+C84</f>
        <v>34986.03484328474</v>
      </c>
      <c r="D85" s="27">
        <f aca="true" t="shared" si="41" ref="D85:P85">D80+D82+D84</f>
        <v>33384.34889681475</v>
      </c>
      <c r="E85" s="27">
        <f t="shared" si="41"/>
        <v>32239.641955678373</v>
      </c>
      <c r="F85" s="27">
        <f t="shared" si="41"/>
        <v>33484.838343606316</v>
      </c>
      <c r="G85" s="27">
        <f t="shared" si="41"/>
        <v>34749.037336680376</v>
      </c>
      <c r="H85" s="27">
        <f t="shared" si="41"/>
        <v>36157.040791805586</v>
      </c>
      <c r="I85" s="27">
        <f t="shared" si="41"/>
        <v>37604.62886028296</v>
      </c>
      <c r="J85" s="27">
        <f t="shared" si="41"/>
        <v>39098.43663414172</v>
      </c>
      <c r="K85" s="27">
        <f t="shared" si="41"/>
        <v>40640.97063301913</v>
      </c>
      <c r="L85" s="27">
        <f t="shared" si="41"/>
        <v>42237.74318974275</v>
      </c>
      <c r="M85" s="27">
        <f t="shared" si="41"/>
        <v>43704.99400673752</v>
      </c>
      <c r="N85" s="27">
        <f t="shared" si="41"/>
        <v>45041.61570566056</v>
      </c>
      <c r="O85" s="27">
        <f t="shared" si="41"/>
        <v>46200.19591661605</v>
      </c>
      <c r="P85" s="27">
        <f t="shared" si="41"/>
        <v>47124.19983494838</v>
      </c>
    </row>
    <row r="86" spans="1:14" ht="10.5">
      <c r="A86" s="14"/>
      <c r="B86" s="19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19"/>
    </row>
    <row r="87" spans="1:17" ht="10.5">
      <c r="A87" s="14">
        <v>21</v>
      </c>
      <c r="B87" s="14" t="s">
        <v>58</v>
      </c>
      <c r="C87" s="15"/>
      <c r="D87" s="15">
        <f>D57+(D26-D38)-D39</f>
        <v>6279</v>
      </c>
      <c r="E87" s="15">
        <f>E57+(E26-E38)-E39</f>
        <v>5625.42</v>
      </c>
      <c r="F87" s="15">
        <f>F57+(F26-F38)-F39</f>
        <v>3100.24</v>
      </c>
      <c r="G87" s="15">
        <f>G57+(G26-G38)-G39</f>
        <v>3262.3199999999997</v>
      </c>
      <c r="H87" s="15">
        <f>H57+(H26-H38)-H39</f>
        <v>3304.42</v>
      </c>
      <c r="I87" s="15">
        <f>I57+(I26-I38)-I39</f>
        <v>3470.88</v>
      </c>
      <c r="J87" s="15">
        <f>J57+(J26-J38)-J39</f>
        <v>3638.1</v>
      </c>
      <c r="K87" s="15">
        <f>K57+(K26-K38)-K39</f>
        <v>3817.4799999999996</v>
      </c>
      <c r="L87" s="15">
        <f>L57+(L26-L38)-L39</f>
        <v>3971.24</v>
      </c>
      <c r="M87" s="15">
        <f>M57+(M26-M38)-M39</f>
        <v>4319.32</v>
      </c>
      <c r="N87" s="15">
        <f>N57+(N26-N38)-N39</f>
        <v>4650.962479999999</v>
      </c>
      <c r="O87" s="15">
        <f>O57+(O26-O38)-O39</f>
        <v>5012.121140719999</v>
      </c>
      <c r="P87" s="15">
        <f>P57+(P26-P38)-P39</f>
        <v>5405.422922244079</v>
      </c>
      <c r="Q87" s="12">
        <f>P87*1.02/(P88-0.02)</f>
        <v>47124.19983494838</v>
      </c>
    </row>
    <row r="88" spans="1:16" ht="14.25" thickBot="1">
      <c r="A88" s="14">
        <v>22</v>
      </c>
      <c r="B88" s="12" t="s">
        <v>59</v>
      </c>
      <c r="C88" s="2"/>
      <c r="D88" s="5">
        <f aca="true" t="shared" si="42" ref="D88:P88">(C66*D63+C68*D72)/C69</f>
        <v>0.1336908876493553</v>
      </c>
      <c r="E88" s="5">
        <f t="shared" si="42"/>
        <v>0.13421597865253357</v>
      </c>
      <c r="F88" s="5">
        <f t="shared" si="42"/>
        <v>0.134785503942688</v>
      </c>
      <c r="G88" s="5">
        <f t="shared" si="42"/>
        <v>0.13518115114145</v>
      </c>
      <c r="H88" s="5">
        <f t="shared" si="42"/>
        <v>0.13561306488772495</v>
      </c>
      <c r="I88" s="5">
        <f t="shared" si="42"/>
        <v>0.13603071381859488</v>
      </c>
      <c r="J88" s="5">
        <f t="shared" si="42"/>
        <v>0.13647010831900416</v>
      </c>
      <c r="K88" s="5">
        <f t="shared" si="42"/>
        <v>0.1370902383906808</v>
      </c>
      <c r="L88" s="5">
        <f t="shared" si="42"/>
        <v>0.13700491080790864</v>
      </c>
      <c r="M88" s="5">
        <f t="shared" si="42"/>
        <v>0.137</v>
      </c>
      <c r="N88" s="5">
        <f t="shared" si="42"/>
        <v>0.137</v>
      </c>
      <c r="O88" s="5">
        <f t="shared" si="42"/>
        <v>0.137</v>
      </c>
      <c r="P88" s="5">
        <f t="shared" si="42"/>
        <v>0.137</v>
      </c>
    </row>
    <row r="89" spans="1:16" ht="14.25" hidden="1" thickBot="1">
      <c r="A89" s="14"/>
      <c r="B89" s="12" t="s">
        <v>60</v>
      </c>
      <c r="C89" s="2"/>
      <c r="D89" s="2">
        <f>(1+D88)</f>
        <v>1.1336908876493552</v>
      </c>
      <c r="E89" s="2">
        <f aca="true" t="shared" si="43" ref="E89:P89">(1+E88)*D89</f>
        <v>1.285850319624673</v>
      </c>
      <c r="F89" s="2">
        <f t="shared" si="43"/>
        <v>1.459164302950151</v>
      </c>
      <c r="G89" s="2">
        <f t="shared" si="43"/>
        <v>1.656415813127464</v>
      </c>
      <c r="H89" s="2">
        <f t="shared" si="43"/>
        <v>1.8810474382741724</v>
      </c>
      <c r="I89" s="2">
        <f t="shared" si="43"/>
        <v>2.136927664029247</v>
      </c>
      <c r="J89" s="2">
        <f t="shared" si="43"/>
        <v>2.428554413809195</v>
      </c>
      <c r="K89" s="2">
        <f t="shared" si="43"/>
        <v>2.7614855173430373</v>
      </c>
      <c r="L89" s="2">
        <f t="shared" si="43"/>
        <v>3.1398225943439515</v>
      </c>
      <c r="M89" s="2">
        <f t="shared" si="43"/>
        <v>3.569978289769073</v>
      </c>
      <c r="N89" s="2">
        <f t="shared" si="43"/>
        <v>4.0590653154674365</v>
      </c>
      <c r="O89" s="2">
        <f t="shared" si="43"/>
        <v>4.615157263686475</v>
      </c>
      <c r="P89" s="2">
        <f t="shared" si="43"/>
        <v>5.247433808811523</v>
      </c>
    </row>
    <row r="90" spans="1:16" ht="11.25" hidden="1" thickBot="1">
      <c r="A90" s="14"/>
      <c r="B90" s="12" t="s">
        <v>61</v>
      </c>
      <c r="C90" s="2"/>
      <c r="D90" s="2">
        <f>D87/D89</f>
        <v>5538.546766499249</v>
      </c>
      <c r="E90" s="2">
        <f aca="true" t="shared" si="44" ref="E90:O90">E87/E89</f>
        <v>4374.863787911181</v>
      </c>
      <c r="F90" s="2">
        <f t="shared" si="44"/>
        <v>2124.668204760703</v>
      </c>
      <c r="G90" s="2">
        <f t="shared" si="44"/>
        <v>1969.5054672536858</v>
      </c>
      <c r="H90" s="2">
        <f t="shared" si="44"/>
        <v>1756.6914755917835</v>
      </c>
      <c r="I90" s="2">
        <f t="shared" si="44"/>
        <v>1624.2384140675788</v>
      </c>
      <c r="J90" s="2">
        <f t="shared" si="44"/>
        <v>1498.0516719382988</v>
      </c>
      <c r="K90" s="2">
        <f t="shared" si="44"/>
        <v>1382.4008766386678</v>
      </c>
      <c r="L90" s="2">
        <f t="shared" si="44"/>
        <v>1264.797573962859</v>
      </c>
      <c r="M90" s="2">
        <f t="shared" si="44"/>
        <v>1209.9009151899909</v>
      </c>
      <c r="N90" s="2">
        <f t="shared" si="44"/>
        <v>1145.8210495596327</v>
      </c>
      <c r="O90" s="2">
        <f t="shared" si="44"/>
        <v>1086.0130769880718</v>
      </c>
      <c r="P90" s="2">
        <f>(P87+Q87)/P89</f>
        <v>10010.535562923042</v>
      </c>
    </row>
    <row r="91" spans="1:16" ht="14.25" thickBot="1">
      <c r="A91" s="14">
        <v>23</v>
      </c>
      <c r="B91" s="8" t="s">
        <v>73</v>
      </c>
      <c r="C91" s="24">
        <f>SUM(D90:P90)</f>
        <v>34986.034843284746</v>
      </c>
      <c r="D91" s="7">
        <f>C91*(1+D88)-D87</f>
        <v>33384.34889681475</v>
      </c>
      <c r="E91" s="7">
        <f aca="true" t="shared" si="45" ref="E91:P91">D91*(1+E88)-E87</f>
        <v>32239.641955678373</v>
      </c>
      <c r="F91" s="7">
        <f t="shared" si="45"/>
        <v>33484.83834360631</v>
      </c>
      <c r="G91" s="7">
        <f t="shared" si="45"/>
        <v>34749.037336680376</v>
      </c>
      <c r="H91" s="7">
        <f t="shared" si="45"/>
        <v>36157.04079180559</v>
      </c>
      <c r="I91" s="7">
        <f t="shared" si="45"/>
        <v>37604.62886028296</v>
      </c>
      <c r="J91" s="7">
        <f t="shared" si="45"/>
        <v>39098.436634141726</v>
      </c>
      <c r="K91" s="7">
        <f t="shared" si="45"/>
        <v>40640.97063301914</v>
      </c>
      <c r="L91" s="7">
        <f t="shared" si="45"/>
        <v>42237.74318974276</v>
      </c>
      <c r="M91" s="7">
        <f t="shared" si="45"/>
        <v>43704.99400673752</v>
      </c>
      <c r="N91" s="7">
        <f t="shared" si="45"/>
        <v>45041.61570566056</v>
      </c>
      <c r="O91" s="7">
        <f t="shared" si="45"/>
        <v>46200.19591661605</v>
      </c>
      <c r="P91" s="7">
        <f t="shared" si="45"/>
        <v>47124.19983494838</v>
      </c>
    </row>
    <row r="92" spans="2:16" ht="10.5">
      <c r="B92" s="8" t="s">
        <v>66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15"/>
      <c r="N92" s="2"/>
      <c r="O92" s="2"/>
      <c r="P92" s="2"/>
    </row>
    <row r="93" spans="3:16" ht="10.5">
      <c r="C93" s="2"/>
      <c r="D93" s="2"/>
      <c r="E93" s="2"/>
      <c r="F93" s="2"/>
      <c r="G93" s="2"/>
      <c r="H93" s="2"/>
      <c r="I93" s="2"/>
      <c r="J93" s="2"/>
      <c r="K93" s="2"/>
      <c r="L93" s="2"/>
      <c r="M93" s="15"/>
      <c r="N93" s="2"/>
      <c r="O93" s="2"/>
      <c r="P93" s="2"/>
    </row>
  </sheetData>
  <printOptions/>
  <pageMargins left="0.7480314960629921" right="0.3937007874015748" top="0.7874015748031497" bottom="0.7874015748031497" header="0.5" footer="0.5"/>
  <pageSetup orientation="portrait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2001-07-09T14:31:54Z</dcterms:created>
  <dcterms:modified xsi:type="dcterms:W3CDTF">2004-03-08T12:06:46Z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1841210933</vt:i4>
  </property>
  <property fmtid="{D5CDD505-2E9C-101B-9397-08002B2CF9AE}" pid="4" name="_EmailSubje">
    <vt:lpwstr>Cambiar estas tablas cap 29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