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8955" windowHeight="5775" tabRatio="972" activeTab="0"/>
  </bookViews>
  <sheets>
    <sheet name="29.10" sheetId="1" r:id="rId1"/>
  </sheets>
  <externalReferences>
    <externalReference r:id="rId4"/>
  </externalReferences>
  <definedNames>
    <definedName name="_xlnm.Print_Area" localSheetId="0">'29.10'!$B$1:$M$54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<sst xmlns="http://schemas.openxmlformats.org/spreadsheetml/2006/main" count="46" uniqueCount="41">
  <si>
    <t>RJR NABISCO. 1. Estrategia anterior a la oferta</t>
  </si>
  <si>
    <t>(millones de dólares)</t>
  </si>
  <si>
    <t>NOF</t>
  </si>
  <si>
    <t>Activos fijos</t>
  </si>
  <si>
    <t>Total activo neto</t>
  </si>
  <si>
    <t>Deuda</t>
  </si>
  <si>
    <t>Recursos propios</t>
  </si>
  <si>
    <t>Total pasivo neto</t>
  </si>
  <si>
    <t>VENTAS</t>
  </si>
  <si>
    <t>Tabaco</t>
  </si>
  <si>
    <t>Alimentos</t>
  </si>
  <si>
    <t>Ventas</t>
  </si>
  <si>
    <t>Bfo. Operativo (después de amortización)</t>
  </si>
  <si>
    <t>Central</t>
  </si>
  <si>
    <t>Beneficio operativo</t>
  </si>
  <si>
    <t>Intereses</t>
  </si>
  <si>
    <t>Beneficio neto</t>
  </si>
  <si>
    <t>Amortización e</t>
  </si>
  <si>
    <t>impuestos diferidos</t>
  </si>
  <si>
    <t>Inversiones</t>
  </si>
  <si>
    <t>Aumento NOF</t>
  </si>
  <si>
    <t>Aumento de deuda</t>
  </si>
  <si>
    <t>Flujo acciones</t>
  </si>
  <si>
    <t xml:space="preserve"> - aumento de deuda</t>
  </si>
  <si>
    <t>(1-0,34)Intereses</t>
  </si>
  <si>
    <t>FCF</t>
  </si>
  <si>
    <t>($ millones)</t>
  </si>
  <si>
    <t>Rf</t>
  </si>
  <si>
    <t>Pm</t>
  </si>
  <si>
    <t>Beta u</t>
  </si>
  <si>
    <t>D</t>
  </si>
  <si>
    <t>Kd</t>
  </si>
  <si>
    <t>Ku</t>
  </si>
  <si>
    <t>SEGÚN MYERS</t>
  </si>
  <si>
    <t>DTKd</t>
  </si>
  <si>
    <t>Producto (1+Kd)</t>
  </si>
  <si>
    <t>DTKd / Producto (1+Kd)</t>
  </si>
  <si>
    <t>Vu=PV(FCF;Ku)</t>
  </si>
  <si>
    <t>($ million)</t>
  </si>
  <si>
    <t>VTS=PV(DTKd;Kd)</t>
  </si>
  <si>
    <t>D+E = VTS + Vu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</si>
</sst>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"/>
    <numFmt numFmtId="189" formatCode="0.000"/>
    <numFmt numFmtId="190" formatCode="0.0%"/>
    <numFmt numFmtId="191" formatCode="#,##0.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Tms Rmn"/>
      <family val="0"/>
    </font>
    <font>
      <sz val="9"/>
      <name val="Tms Rmn"/>
      <family val="0"/>
    </font>
    <font>
      <b/>
      <sz val="12"/>
      <name val="Tms Rmn"/>
      <family val="0"/>
    </font>
    <font>
      <u val="single"/>
      <sz val="9"/>
      <name val="Tms Rmn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190" fontId="5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0" fontId="5" fillId="0" borderId="0" xfId="19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0" xfId="19" applyNumberFormat="1" applyFont="1" applyBorder="1" applyAlignment="1">
      <alignment/>
    </xf>
    <xf numFmtId="190" fontId="5" fillId="0" borderId="0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9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_PFernandez\Documentos%20PFernandez\Documentos_Mac\Book%20valuation\Figures_tables\RJR%20Nabisco%20book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JR Nabisco lib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35">
      <pane xSplit="4035" topLeftCell="A1" activePane="topRight" state="split"/>
      <selection pane="topLeft" activeCell="A44" sqref="A38:IV44"/>
      <selection pane="topRight" activeCell="B59" sqref="B59"/>
    </sheetView>
  </sheetViews>
  <sheetFormatPr defaultColWidth="9.00390625" defaultRowHeight="12.75"/>
  <cols>
    <col min="1" max="1" width="2.75390625" style="8" customWidth="1"/>
    <col min="2" max="2" width="17.875" style="8" customWidth="1"/>
    <col min="3" max="13" width="5.625" style="8" customWidth="1"/>
    <col min="14" max="14" width="6.75390625" style="8" customWidth="1"/>
    <col min="15" max="15" width="4.75390625" style="8" customWidth="1"/>
    <col min="16" max="16384" width="10.75390625" style="8" customWidth="1"/>
  </cols>
  <sheetData>
    <row r="1" spans="3:9" s="3" customFormat="1" ht="18" customHeight="1">
      <c r="C1" s="4"/>
      <c r="D1" s="4"/>
      <c r="E1" s="4" t="s">
        <v>0</v>
      </c>
      <c r="G1" s="4"/>
      <c r="H1" s="4"/>
      <c r="I1" s="4"/>
    </row>
    <row r="2" spans="3:9" s="3" customFormat="1" ht="10.5" customHeight="1">
      <c r="C2" s="4"/>
      <c r="D2" s="4"/>
      <c r="E2" s="4"/>
      <c r="G2" s="4"/>
      <c r="H2" s="4"/>
      <c r="I2" s="4"/>
    </row>
    <row r="3" spans="2:13" s="7" customFormat="1" ht="10.5">
      <c r="B3" s="11" t="s">
        <v>1</v>
      </c>
      <c r="C3" s="7">
        <v>1988</v>
      </c>
      <c r="D3" s="7">
        <f aca="true" t="shared" si="0" ref="D3:M3">C3+1</f>
        <v>1989</v>
      </c>
      <c r="E3" s="7">
        <f t="shared" si="0"/>
        <v>1990</v>
      </c>
      <c r="F3" s="7">
        <f t="shared" si="0"/>
        <v>1991</v>
      </c>
      <c r="G3" s="7">
        <f t="shared" si="0"/>
        <v>1992</v>
      </c>
      <c r="H3" s="7">
        <f t="shared" si="0"/>
        <v>1993</v>
      </c>
      <c r="I3" s="7">
        <f t="shared" si="0"/>
        <v>1994</v>
      </c>
      <c r="J3" s="7">
        <f t="shared" si="0"/>
        <v>1995</v>
      </c>
      <c r="K3" s="7">
        <f t="shared" si="0"/>
        <v>1996</v>
      </c>
      <c r="L3" s="7">
        <f t="shared" si="0"/>
        <v>1997</v>
      </c>
      <c r="M3" s="7">
        <f t="shared" si="0"/>
        <v>1998</v>
      </c>
    </row>
    <row r="4" spans="2:13" ht="10.5">
      <c r="B4" s="8" t="s">
        <v>2</v>
      </c>
      <c r="C4" s="1">
        <v>1191</v>
      </c>
      <c r="D4" s="1">
        <f aca="true" t="shared" si="1" ref="D4:M4">C4+D26</f>
        <v>1271</v>
      </c>
      <c r="E4" s="1">
        <f t="shared" si="1"/>
        <v>1382</v>
      </c>
      <c r="F4" s="1">
        <f t="shared" si="1"/>
        <v>1480</v>
      </c>
      <c r="G4" s="1">
        <f t="shared" si="1"/>
        <v>1585</v>
      </c>
      <c r="H4" s="1">
        <f t="shared" si="1"/>
        <v>1698</v>
      </c>
      <c r="I4" s="1">
        <f t="shared" si="1"/>
        <v>1819</v>
      </c>
      <c r="J4" s="1">
        <f t="shared" si="1"/>
        <v>1949</v>
      </c>
      <c r="K4" s="1">
        <f t="shared" si="1"/>
        <v>2089</v>
      </c>
      <c r="L4" s="1">
        <f t="shared" si="1"/>
        <v>2240</v>
      </c>
      <c r="M4" s="1">
        <f t="shared" si="1"/>
        <v>2402</v>
      </c>
    </row>
    <row r="5" spans="2:13" ht="10.5">
      <c r="B5" s="8" t="s">
        <v>3</v>
      </c>
      <c r="C5" s="1">
        <f>C10-C4</f>
        <v>11223</v>
      </c>
      <c r="D5" s="1">
        <f aca="true" t="shared" si="2" ref="D5:M5">C5+D25-D24</f>
        <v>12124</v>
      </c>
      <c r="E5" s="1">
        <f t="shared" si="2"/>
        <v>12795</v>
      </c>
      <c r="F5" s="1">
        <f t="shared" si="2"/>
        <v>13321</v>
      </c>
      <c r="G5" s="1">
        <f t="shared" si="2"/>
        <v>13402</v>
      </c>
      <c r="H5" s="1">
        <f t="shared" si="2"/>
        <v>13274</v>
      </c>
      <c r="I5" s="1">
        <f t="shared" si="2"/>
        <v>13142</v>
      </c>
      <c r="J5" s="1">
        <f t="shared" si="2"/>
        <v>13010</v>
      </c>
      <c r="K5" s="1">
        <f t="shared" si="2"/>
        <v>12878</v>
      </c>
      <c r="L5" s="1">
        <f t="shared" si="2"/>
        <v>12746</v>
      </c>
      <c r="M5" s="1">
        <f t="shared" si="2"/>
        <v>12620</v>
      </c>
    </row>
    <row r="6" spans="2:13" ht="10.5">
      <c r="B6" s="8" t="s">
        <v>4</v>
      </c>
      <c r="C6" s="1">
        <f aca="true" t="shared" si="3" ref="C6:M6">C4+C5</f>
        <v>12414</v>
      </c>
      <c r="D6" s="1">
        <f t="shared" si="3"/>
        <v>13395</v>
      </c>
      <c r="E6" s="1">
        <f t="shared" si="3"/>
        <v>14177</v>
      </c>
      <c r="F6" s="1">
        <f t="shared" si="3"/>
        <v>14801</v>
      </c>
      <c r="G6" s="1">
        <f t="shared" si="3"/>
        <v>14987</v>
      </c>
      <c r="H6" s="1">
        <f t="shared" si="3"/>
        <v>14972</v>
      </c>
      <c r="I6" s="1">
        <f t="shared" si="3"/>
        <v>14961</v>
      </c>
      <c r="J6" s="1">
        <f t="shared" si="3"/>
        <v>14959</v>
      </c>
      <c r="K6" s="1">
        <f t="shared" si="3"/>
        <v>14967</v>
      </c>
      <c r="L6" s="1">
        <f t="shared" si="3"/>
        <v>14986</v>
      </c>
      <c r="M6" s="1">
        <f t="shared" si="3"/>
        <v>15022</v>
      </c>
    </row>
    <row r="7" spans="3:13" ht="10.5"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0.5">
      <c r="B8" s="8" t="s">
        <v>5</v>
      </c>
      <c r="C8" s="1">
        <v>5204</v>
      </c>
      <c r="D8" s="1">
        <f aca="true" t="shared" si="4" ref="D8:M8">E21/0.11</f>
        <v>6018.181818181818</v>
      </c>
      <c r="E8" s="1">
        <f t="shared" si="4"/>
        <v>6300</v>
      </c>
      <c r="F8" s="1">
        <f t="shared" si="4"/>
        <v>6272.727272727273</v>
      </c>
      <c r="G8" s="1">
        <f t="shared" si="4"/>
        <v>5981.818181818182</v>
      </c>
      <c r="H8" s="1">
        <f t="shared" si="4"/>
        <v>5400</v>
      </c>
      <c r="I8" s="1">
        <f t="shared" si="4"/>
        <v>4163.636363636364</v>
      </c>
      <c r="J8" s="1">
        <f t="shared" si="4"/>
        <v>3727.2727272727275</v>
      </c>
      <c r="K8" s="1">
        <f t="shared" si="4"/>
        <v>2354.5454545454545</v>
      </c>
      <c r="L8" s="1">
        <f t="shared" si="4"/>
        <v>0</v>
      </c>
      <c r="M8" s="1">
        <f t="shared" si="4"/>
        <v>0</v>
      </c>
    </row>
    <row r="9" spans="2:13" ht="10.5">
      <c r="B9" s="8" t="s">
        <v>6</v>
      </c>
      <c r="C9" s="1">
        <v>7210</v>
      </c>
      <c r="D9" s="1">
        <f aca="true" t="shared" si="5" ref="D9:M9">C9+D22-D28</f>
        <v>7376.818181818182</v>
      </c>
      <c r="E9" s="1">
        <f t="shared" si="5"/>
        <v>7877</v>
      </c>
      <c r="F9" s="1">
        <f t="shared" si="5"/>
        <v>8528.272727272728</v>
      </c>
      <c r="G9" s="1">
        <f t="shared" si="5"/>
        <v>9005.18181818182</v>
      </c>
      <c r="H9" s="1">
        <f t="shared" si="5"/>
        <v>9572.000000000002</v>
      </c>
      <c r="I9" s="1">
        <f t="shared" si="5"/>
        <v>10797.363636363638</v>
      </c>
      <c r="J9" s="1">
        <f t="shared" si="5"/>
        <v>11231.727272727274</v>
      </c>
      <c r="K9" s="1">
        <f t="shared" si="5"/>
        <v>12612.454545454548</v>
      </c>
      <c r="L9" s="1">
        <f t="shared" si="5"/>
        <v>14986.000000000002</v>
      </c>
      <c r="M9" s="1">
        <f t="shared" si="5"/>
        <v>15022</v>
      </c>
    </row>
    <row r="10" spans="2:13" ht="10.5">
      <c r="B10" s="6" t="s">
        <v>7</v>
      </c>
      <c r="C10" s="5">
        <f aca="true" t="shared" si="6" ref="C10:M10">C8+C9</f>
        <v>12414</v>
      </c>
      <c r="D10" s="5">
        <f t="shared" si="6"/>
        <v>13395</v>
      </c>
      <c r="E10" s="5">
        <f t="shared" si="6"/>
        <v>14177</v>
      </c>
      <c r="F10" s="5">
        <f t="shared" si="6"/>
        <v>14801</v>
      </c>
      <c r="G10" s="5">
        <f t="shared" si="6"/>
        <v>14987.000000000002</v>
      </c>
      <c r="H10" s="5">
        <f t="shared" si="6"/>
        <v>14972.000000000002</v>
      </c>
      <c r="I10" s="5">
        <f t="shared" si="6"/>
        <v>14961.000000000002</v>
      </c>
      <c r="J10" s="5">
        <f t="shared" si="6"/>
        <v>14959.000000000002</v>
      </c>
      <c r="K10" s="5">
        <f t="shared" si="6"/>
        <v>14967.000000000002</v>
      </c>
      <c r="L10" s="5">
        <f t="shared" si="6"/>
        <v>14986.000000000002</v>
      </c>
      <c r="M10" s="5">
        <f t="shared" si="6"/>
        <v>15022</v>
      </c>
    </row>
    <row r="11" spans="3:13" s="7" customFormat="1" ht="10.5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="7" customFormat="1" ht="10.5" hidden="1">
      <c r="B12" s="7" t="s">
        <v>8</v>
      </c>
    </row>
    <row r="13" spans="2:13" ht="10.5" hidden="1">
      <c r="B13" s="8" t="s">
        <v>9</v>
      </c>
      <c r="C13" s="1">
        <v>7061</v>
      </c>
      <c r="D13" s="1">
        <v>7650</v>
      </c>
      <c r="E13" s="1">
        <v>8293</v>
      </c>
      <c r="F13" s="1">
        <v>8983</v>
      </c>
      <c r="G13" s="1">
        <v>9731</v>
      </c>
      <c r="H13" s="1">
        <v>10540</v>
      </c>
      <c r="I13" s="1">
        <v>11418</v>
      </c>
      <c r="J13" s="1">
        <v>12368</v>
      </c>
      <c r="K13" s="1">
        <v>13397</v>
      </c>
      <c r="L13" s="1">
        <v>14514</v>
      </c>
      <c r="M13" s="1">
        <v>15723</v>
      </c>
    </row>
    <row r="14" spans="2:13" ht="10.5" hidden="1">
      <c r="B14" s="8" t="s">
        <v>10</v>
      </c>
      <c r="C14" s="1">
        <v>9889</v>
      </c>
      <c r="D14" s="1">
        <v>10438</v>
      </c>
      <c r="E14" s="1">
        <v>11383</v>
      </c>
      <c r="F14" s="1">
        <v>12092</v>
      </c>
      <c r="G14" s="1">
        <v>12847</v>
      </c>
      <c r="H14" s="1">
        <v>13651</v>
      </c>
      <c r="I14" s="1">
        <v>14507</v>
      </c>
      <c r="J14" s="1">
        <v>15420</v>
      </c>
      <c r="K14" s="1">
        <v>16393</v>
      </c>
      <c r="L14" s="1">
        <v>17428</v>
      </c>
      <c r="M14" s="1">
        <v>18533</v>
      </c>
    </row>
    <row r="15" spans="2:13" s="18" customFormat="1" ht="12" customHeight="1">
      <c r="B15" s="18" t="s">
        <v>11</v>
      </c>
      <c r="C15" s="17">
        <f aca="true" t="shared" si="7" ref="C15:M15">C13+C14</f>
        <v>16950</v>
      </c>
      <c r="D15" s="17">
        <f t="shared" si="7"/>
        <v>18088</v>
      </c>
      <c r="E15" s="17">
        <f t="shared" si="7"/>
        <v>19676</v>
      </c>
      <c r="F15" s="17">
        <f t="shared" si="7"/>
        <v>21075</v>
      </c>
      <c r="G15" s="17">
        <f t="shared" si="7"/>
        <v>22578</v>
      </c>
      <c r="H15" s="17">
        <f t="shared" si="7"/>
        <v>24191</v>
      </c>
      <c r="I15" s="17">
        <f t="shared" si="7"/>
        <v>25925</v>
      </c>
      <c r="J15" s="17">
        <f t="shared" si="7"/>
        <v>27788</v>
      </c>
      <c r="K15" s="17">
        <f t="shared" si="7"/>
        <v>29790</v>
      </c>
      <c r="L15" s="17">
        <f t="shared" si="7"/>
        <v>31942</v>
      </c>
      <c r="M15" s="17">
        <f t="shared" si="7"/>
        <v>34256</v>
      </c>
    </row>
    <row r="16" spans="2:13" s="7" customFormat="1" ht="12" customHeight="1" hidden="1">
      <c r="B16" s="7" t="s">
        <v>12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12" customHeight="1" hidden="1">
      <c r="B17" s="8" t="s">
        <v>9</v>
      </c>
      <c r="C17" s="1">
        <v>1924</v>
      </c>
      <c r="D17" s="1">
        <v>2022</v>
      </c>
      <c r="E17" s="1">
        <v>2360</v>
      </c>
      <c r="F17" s="1">
        <v>2786</v>
      </c>
      <c r="G17" s="1">
        <v>3071</v>
      </c>
      <c r="H17" s="1">
        <v>3386</v>
      </c>
      <c r="I17" s="1">
        <v>3733</v>
      </c>
      <c r="J17" s="1">
        <v>4115</v>
      </c>
      <c r="K17" s="1">
        <v>4534</v>
      </c>
      <c r="L17" s="1">
        <v>4998</v>
      </c>
      <c r="M17" s="1">
        <v>5508</v>
      </c>
    </row>
    <row r="18" spans="2:13" ht="12" customHeight="1" hidden="1">
      <c r="B18" s="8" t="s">
        <v>10</v>
      </c>
      <c r="C18" s="1">
        <v>1079</v>
      </c>
      <c r="D18" s="1">
        <v>1163</v>
      </c>
      <c r="E18" s="1">
        <v>1255</v>
      </c>
      <c r="F18" s="1">
        <v>1348</v>
      </c>
      <c r="G18" s="1">
        <v>1459</v>
      </c>
      <c r="H18" s="1">
        <v>1581</v>
      </c>
      <c r="I18" s="1">
        <v>1713</v>
      </c>
      <c r="J18" s="1">
        <v>1855</v>
      </c>
      <c r="K18" s="1">
        <v>2011</v>
      </c>
      <c r="L18" s="1">
        <v>2178</v>
      </c>
      <c r="M18" s="1">
        <v>2361</v>
      </c>
    </row>
    <row r="19" spans="2:13" ht="12" customHeight="1" hidden="1">
      <c r="B19" s="8" t="s">
        <v>13</v>
      </c>
      <c r="C19" s="1">
        <v>-350</v>
      </c>
      <c r="D19" s="1">
        <v>-287</v>
      </c>
      <c r="E19" s="1">
        <v>-279</v>
      </c>
      <c r="F19" s="1">
        <v>-296</v>
      </c>
      <c r="G19" s="1">
        <v>-314</v>
      </c>
      <c r="H19" s="1">
        <v>-333</v>
      </c>
      <c r="I19" s="1">
        <v>-353</v>
      </c>
      <c r="J19" s="1">
        <v>-374</v>
      </c>
      <c r="K19" s="1">
        <v>-396</v>
      </c>
      <c r="L19" s="1">
        <v>-420</v>
      </c>
      <c r="M19" s="1">
        <v>-445</v>
      </c>
    </row>
    <row r="20" spans="2:13" s="18" customFormat="1" ht="12" customHeight="1">
      <c r="B20" s="18" t="s">
        <v>14</v>
      </c>
      <c r="C20" s="17">
        <f aca="true" t="shared" si="8" ref="C20:M20">C17+C18+C19</f>
        <v>2653</v>
      </c>
      <c r="D20" s="17">
        <f t="shared" si="8"/>
        <v>2898</v>
      </c>
      <c r="E20" s="17">
        <f t="shared" si="8"/>
        <v>3336</v>
      </c>
      <c r="F20" s="17">
        <f t="shared" si="8"/>
        <v>3838</v>
      </c>
      <c r="G20" s="17">
        <f t="shared" si="8"/>
        <v>4216</v>
      </c>
      <c r="H20" s="17">
        <f t="shared" si="8"/>
        <v>4634</v>
      </c>
      <c r="I20" s="17">
        <f t="shared" si="8"/>
        <v>5093</v>
      </c>
      <c r="J20" s="17">
        <f t="shared" si="8"/>
        <v>5596</v>
      </c>
      <c r="K20" s="17">
        <f t="shared" si="8"/>
        <v>6149</v>
      </c>
      <c r="L20" s="17">
        <f t="shared" si="8"/>
        <v>6756</v>
      </c>
      <c r="M20" s="17">
        <f t="shared" si="8"/>
        <v>7424</v>
      </c>
    </row>
    <row r="21" spans="2:13" ht="12.75" customHeight="1">
      <c r="B21" s="8" t="s">
        <v>15</v>
      </c>
      <c r="C21" s="1">
        <v>551</v>
      </c>
      <c r="D21" s="1">
        <v>582</v>
      </c>
      <c r="E21" s="1">
        <v>662</v>
      </c>
      <c r="F21" s="1">
        <v>693</v>
      </c>
      <c r="G21" s="1">
        <v>690</v>
      </c>
      <c r="H21" s="1">
        <v>658</v>
      </c>
      <c r="I21" s="1">
        <v>594</v>
      </c>
      <c r="J21" s="1">
        <v>458</v>
      </c>
      <c r="K21" s="1">
        <v>410</v>
      </c>
      <c r="L21" s="1">
        <v>259</v>
      </c>
      <c r="M21" s="1">
        <v>0</v>
      </c>
    </row>
    <row r="22" spans="2:13" s="7" customFormat="1" ht="12.75" customHeight="1">
      <c r="B22" s="10" t="s">
        <v>16</v>
      </c>
      <c r="C22" s="9">
        <v>1360</v>
      </c>
      <c r="D22" s="9">
        <v>1498</v>
      </c>
      <c r="E22" s="9">
        <v>1730</v>
      </c>
      <c r="F22" s="9">
        <v>2023</v>
      </c>
      <c r="G22" s="9">
        <v>2259</v>
      </c>
      <c r="H22" s="9">
        <v>2536</v>
      </c>
      <c r="I22" s="9">
        <v>2858</v>
      </c>
      <c r="J22" s="9">
        <v>3251</v>
      </c>
      <c r="K22" s="9">
        <v>3625</v>
      </c>
      <c r="L22" s="9">
        <v>4094</v>
      </c>
      <c r="M22" s="9">
        <v>4625</v>
      </c>
    </row>
    <row r="23" spans="2:13" ht="10.5">
      <c r="B23" s="8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0.5">
      <c r="B24" s="8" t="s">
        <v>18</v>
      </c>
      <c r="C24" s="1">
        <v>730</v>
      </c>
      <c r="D24" s="1">
        <v>807</v>
      </c>
      <c r="E24" s="1">
        <v>791</v>
      </c>
      <c r="F24" s="1">
        <v>819</v>
      </c>
      <c r="G24" s="1">
        <v>849</v>
      </c>
      <c r="H24" s="1">
        <v>866</v>
      </c>
      <c r="I24" s="1">
        <v>867</v>
      </c>
      <c r="J24" s="1">
        <v>867</v>
      </c>
      <c r="K24" s="1">
        <v>867</v>
      </c>
      <c r="L24" s="1">
        <v>867</v>
      </c>
      <c r="M24" s="1">
        <v>861</v>
      </c>
    </row>
    <row r="25" spans="2:13" ht="10.5">
      <c r="B25" s="8" t="s">
        <v>19</v>
      </c>
      <c r="C25" s="1">
        <v>1142</v>
      </c>
      <c r="D25" s="1">
        <v>1708</v>
      </c>
      <c r="E25" s="1">
        <v>1462</v>
      </c>
      <c r="F25" s="1">
        <v>1345</v>
      </c>
      <c r="G25" s="1">
        <v>930</v>
      </c>
      <c r="H25" s="1">
        <v>738</v>
      </c>
      <c r="I25" s="1">
        <v>735</v>
      </c>
      <c r="J25" s="1">
        <v>735</v>
      </c>
      <c r="K25" s="1">
        <v>735</v>
      </c>
      <c r="L25" s="1">
        <v>735</v>
      </c>
      <c r="M25" s="1">
        <v>735</v>
      </c>
    </row>
    <row r="26" spans="2:13" ht="10.5">
      <c r="B26" s="8" t="s">
        <v>20</v>
      </c>
      <c r="C26" s="1"/>
      <c r="D26" s="1">
        <v>80</v>
      </c>
      <c r="E26" s="1">
        <v>111</v>
      </c>
      <c r="F26" s="1">
        <v>98</v>
      </c>
      <c r="G26" s="1">
        <v>105</v>
      </c>
      <c r="H26" s="1">
        <v>113</v>
      </c>
      <c r="I26" s="1">
        <v>121</v>
      </c>
      <c r="J26" s="1">
        <v>130</v>
      </c>
      <c r="K26" s="1">
        <v>140</v>
      </c>
      <c r="L26" s="1">
        <v>151</v>
      </c>
      <c r="M26" s="1">
        <v>162</v>
      </c>
    </row>
    <row r="27" spans="2:13" ht="10.5">
      <c r="B27" s="8" t="s">
        <v>21</v>
      </c>
      <c r="C27" s="1"/>
      <c r="D27" s="1">
        <f aca="true" t="shared" si="9" ref="D27:M27">D8-C8</f>
        <v>814.181818181818</v>
      </c>
      <c r="E27" s="1">
        <f t="shared" si="9"/>
        <v>281.818181818182</v>
      </c>
      <c r="F27" s="1">
        <f t="shared" si="9"/>
        <v>-27.272727272727025</v>
      </c>
      <c r="G27" s="1">
        <f t="shared" si="9"/>
        <v>-290.909090909091</v>
      </c>
      <c r="H27" s="1">
        <f t="shared" si="9"/>
        <v>-581.818181818182</v>
      </c>
      <c r="I27" s="1">
        <f t="shared" si="9"/>
        <v>-1236.363636363636</v>
      </c>
      <c r="J27" s="1">
        <f t="shared" si="9"/>
        <v>-436.3636363636365</v>
      </c>
      <c r="K27" s="1">
        <f t="shared" si="9"/>
        <v>-1372.727272727273</v>
      </c>
      <c r="L27" s="1">
        <f t="shared" si="9"/>
        <v>-2354.5454545454545</v>
      </c>
      <c r="M27" s="1">
        <f t="shared" si="9"/>
        <v>0</v>
      </c>
    </row>
    <row r="28" spans="2:13" s="10" customFormat="1" ht="10.5">
      <c r="B28" s="10" t="s">
        <v>22</v>
      </c>
      <c r="C28" s="9"/>
      <c r="D28" s="9">
        <f aca="true" t="shared" si="10" ref="D28:M28">D22+D24-D25-D26+D27</f>
        <v>1331.181818181818</v>
      </c>
      <c r="E28" s="9">
        <f t="shared" si="10"/>
        <v>1229.818181818182</v>
      </c>
      <c r="F28" s="9">
        <f t="shared" si="10"/>
        <v>1371.727272727273</v>
      </c>
      <c r="G28" s="9">
        <f t="shared" si="10"/>
        <v>1782.090909090909</v>
      </c>
      <c r="H28" s="9">
        <f t="shared" si="10"/>
        <v>1969.181818181818</v>
      </c>
      <c r="I28" s="9">
        <f t="shared" si="10"/>
        <v>1632.636363636364</v>
      </c>
      <c r="J28" s="9">
        <f t="shared" si="10"/>
        <v>2816.6363636363635</v>
      </c>
      <c r="K28" s="9">
        <f t="shared" si="10"/>
        <v>2244.272727272727</v>
      </c>
      <c r="L28" s="9">
        <f t="shared" si="10"/>
        <v>1720.4545454545455</v>
      </c>
      <c r="M28" s="9">
        <f t="shared" si="10"/>
        <v>4589</v>
      </c>
    </row>
    <row r="29" spans="2:13" ht="10.5">
      <c r="B29" s="8" t="s">
        <v>23</v>
      </c>
      <c r="C29" s="1"/>
      <c r="D29" s="1">
        <f aca="true" t="shared" si="11" ref="D29:M29">-D27</f>
        <v>-814.181818181818</v>
      </c>
      <c r="E29" s="1">
        <f t="shared" si="11"/>
        <v>-281.818181818182</v>
      </c>
      <c r="F29" s="1">
        <f t="shared" si="11"/>
        <v>27.272727272727025</v>
      </c>
      <c r="G29" s="1">
        <f t="shared" si="11"/>
        <v>290.909090909091</v>
      </c>
      <c r="H29" s="1">
        <f t="shared" si="11"/>
        <v>581.818181818182</v>
      </c>
      <c r="I29" s="1">
        <f t="shared" si="11"/>
        <v>1236.363636363636</v>
      </c>
      <c r="J29" s="1">
        <f t="shared" si="11"/>
        <v>436.3636363636365</v>
      </c>
      <c r="K29" s="1">
        <f t="shared" si="11"/>
        <v>1372.727272727273</v>
      </c>
      <c r="L29" s="1">
        <f t="shared" si="11"/>
        <v>2354.5454545454545</v>
      </c>
      <c r="M29" s="1">
        <f t="shared" si="11"/>
        <v>0</v>
      </c>
    </row>
    <row r="30" spans="2:13" ht="10.5">
      <c r="B30" s="8" t="s">
        <v>24</v>
      </c>
      <c r="C30" s="1"/>
      <c r="D30" s="1">
        <f aca="true" t="shared" si="12" ref="D30:M30">0.66*D21</f>
        <v>384.12</v>
      </c>
      <c r="E30" s="1">
        <f t="shared" si="12"/>
        <v>436.92</v>
      </c>
      <c r="F30" s="1">
        <f t="shared" si="12"/>
        <v>457.38</v>
      </c>
      <c r="G30" s="1">
        <f t="shared" si="12"/>
        <v>455.40000000000003</v>
      </c>
      <c r="H30" s="1">
        <f t="shared" si="12"/>
        <v>434.28000000000003</v>
      </c>
      <c r="I30" s="1">
        <f t="shared" si="12"/>
        <v>392.04</v>
      </c>
      <c r="J30" s="1">
        <f t="shared" si="12"/>
        <v>302.28000000000003</v>
      </c>
      <c r="K30" s="1">
        <f t="shared" si="12"/>
        <v>270.6</v>
      </c>
      <c r="L30" s="1">
        <f t="shared" si="12"/>
        <v>170.94</v>
      </c>
      <c r="M30" s="1">
        <f t="shared" si="12"/>
        <v>0</v>
      </c>
    </row>
    <row r="31" spans="2:13" s="10" customFormat="1" ht="10.5">
      <c r="B31" s="10" t="s">
        <v>25</v>
      </c>
      <c r="C31" s="9"/>
      <c r="D31" s="9">
        <f aca="true" t="shared" si="13" ref="D31:M31">D28+D29+D30</f>
        <v>901.12</v>
      </c>
      <c r="E31" s="9">
        <f t="shared" si="13"/>
        <v>1384.92</v>
      </c>
      <c r="F31" s="9">
        <f t="shared" si="13"/>
        <v>1856.38</v>
      </c>
      <c r="G31" s="9">
        <f t="shared" si="13"/>
        <v>2528.4</v>
      </c>
      <c r="H31" s="9">
        <f t="shared" si="13"/>
        <v>2985.28</v>
      </c>
      <c r="I31" s="9">
        <f t="shared" si="13"/>
        <v>3261.04</v>
      </c>
      <c r="J31" s="9">
        <f t="shared" si="13"/>
        <v>3555.28</v>
      </c>
      <c r="K31" s="9">
        <f t="shared" si="13"/>
        <v>3887.6</v>
      </c>
      <c r="L31" s="9">
        <f t="shared" si="13"/>
        <v>4245.94</v>
      </c>
      <c r="M31" s="9">
        <f t="shared" si="13"/>
        <v>4589</v>
      </c>
    </row>
    <row r="32" spans="3:13" s="12" customFormat="1" ht="10.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3:13" s="12" customFormat="1" ht="10.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2:14" s="12" customFormat="1" ht="10.5">
      <c r="B34" s="11" t="s">
        <v>26</v>
      </c>
      <c r="C34" s="7">
        <v>1988</v>
      </c>
      <c r="D34" s="7">
        <f aca="true" t="shared" si="14" ref="D34:M34">C34+1</f>
        <v>1989</v>
      </c>
      <c r="E34" s="7">
        <f t="shared" si="14"/>
        <v>1990</v>
      </c>
      <c r="F34" s="7">
        <f t="shared" si="14"/>
        <v>1991</v>
      </c>
      <c r="G34" s="7">
        <f t="shared" si="14"/>
        <v>1992</v>
      </c>
      <c r="H34" s="7">
        <f t="shared" si="14"/>
        <v>1993</v>
      </c>
      <c r="I34" s="7">
        <f t="shared" si="14"/>
        <v>1994</v>
      </c>
      <c r="J34" s="7">
        <f t="shared" si="14"/>
        <v>1995</v>
      </c>
      <c r="K34" s="7">
        <f t="shared" si="14"/>
        <v>1996</v>
      </c>
      <c r="L34" s="7">
        <f t="shared" si="14"/>
        <v>1997</v>
      </c>
      <c r="M34" s="12">
        <f t="shared" si="14"/>
        <v>1998</v>
      </c>
      <c r="N34" s="7"/>
    </row>
    <row r="35" spans="1:14" s="12" customFormat="1" ht="10.5">
      <c r="A35" s="18">
        <v>1</v>
      </c>
      <c r="B35" s="8" t="s">
        <v>27</v>
      </c>
      <c r="C35" s="1"/>
      <c r="D35" s="15">
        <v>0.085</v>
      </c>
      <c r="E35" s="15">
        <v>0.085</v>
      </c>
      <c r="F35" s="15">
        <v>0.085</v>
      </c>
      <c r="G35" s="15">
        <v>0.085</v>
      </c>
      <c r="H35" s="15">
        <v>0.085</v>
      </c>
      <c r="I35" s="15">
        <v>0.085</v>
      </c>
      <c r="J35" s="15">
        <v>0.085</v>
      </c>
      <c r="K35" s="15">
        <v>0.085</v>
      </c>
      <c r="L35" s="15">
        <v>0.085</v>
      </c>
      <c r="M35" s="15">
        <v>0.085</v>
      </c>
      <c r="N35" s="8"/>
    </row>
    <row r="36" spans="1:14" s="12" customFormat="1" ht="10.5">
      <c r="A36" s="18">
        <f>A35+1</f>
        <v>2</v>
      </c>
      <c r="B36" s="8" t="s">
        <v>28</v>
      </c>
      <c r="C36" s="1"/>
      <c r="D36" s="24">
        <v>0.08</v>
      </c>
      <c r="E36" s="24">
        <v>0.08</v>
      </c>
      <c r="F36" s="24">
        <v>0.08</v>
      </c>
      <c r="G36" s="24">
        <v>0.08</v>
      </c>
      <c r="H36" s="24">
        <v>0.08</v>
      </c>
      <c r="I36" s="24">
        <v>0.08</v>
      </c>
      <c r="J36" s="24">
        <v>0.08</v>
      </c>
      <c r="K36" s="24">
        <v>0.08</v>
      </c>
      <c r="L36" s="24">
        <v>0.08</v>
      </c>
      <c r="M36" s="24">
        <v>0.08</v>
      </c>
      <c r="N36" s="8"/>
    </row>
    <row r="37" spans="1:14" s="12" customFormat="1" ht="10.5">
      <c r="A37" s="18">
        <f>A36+1</f>
        <v>3</v>
      </c>
      <c r="B37" s="8" t="s">
        <v>29</v>
      </c>
      <c r="C37" s="1"/>
      <c r="D37" s="14">
        <v>0.65</v>
      </c>
      <c r="E37" s="14">
        <v>0.65</v>
      </c>
      <c r="F37" s="14">
        <v>0.65</v>
      </c>
      <c r="G37" s="14">
        <v>0.65</v>
      </c>
      <c r="H37" s="14">
        <v>0.65</v>
      </c>
      <c r="I37" s="14">
        <v>0.65</v>
      </c>
      <c r="J37" s="14">
        <v>0.65</v>
      </c>
      <c r="K37" s="14">
        <v>0.65</v>
      </c>
      <c r="L37" s="14">
        <v>0.65</v>
      </c>
      <c r="M37" s="14">
        <v>0.65</v>
      </c>
      <c r="N37" s="8"/>
    </row>
    <row r="38" spans="1:14" s="12" customFormat="1" ht="11.25" customHeight="1">
      <c r="A38" s="18">
        <v>8</v>
      </c>
      <c r="B38" s="8" t="s">
        <v>30</v>
      </c>
      <c r="C38" s="1">
        <f aca="true" t="shared" si="15" ref="C38:M38">C8</f>
        <v>5204</v>
      </c>
      <c r="D38" s="1">
        <f t="shared" si="15"/>
        <v>6018.181818181818</v>
      </c>
      <c r="E38" s="1">
        <f t="shared" si="15"/>
        <v>6300</v>
      </c>
      <c r="F38" s="1">
        <f t="shared" si="15"/>
        <v>6272.727272727273</v>
      </c>
      <c r="G38" s="1">
        <f t="shared" si="15"/>
        <v>5981.818181818182</v>
      </c>
      <c r="H38" s="1">
        <f t="shared" si="15"/>
        <v>5400</v>
      </c>
      <c r="I38" s="1">
        <f t="shared" si="15"/>
        <v>4163.636363636364</v>
      </c>
      <c r="J38" s="1">
        <f t="shared" si="15"/>
        <v>3727.2727272727275</v>
      </c>
      <c r="K38" s="1">
        <f t="shared" si="15"/>
        <v>2354.5454545454545</v>
      </c>
      <c r="L38" s="1">
        <f t="shared" si="15"/>
        <v>0</v>
      </c>
      <c r="M38" s="1">
        <f t="shared" si="15"/>
        <v>0</v>
      </c>
      <c r="N38" s="8"/>
    </row>
    <row r="39" spans="1:14" s="12" customFormat="1" ht="11.25" customHeight="1">
      <c r="A39" s="18">
        <v>10</v>
      </c>
      <c r="B39" s="8" t="s">
        <v>31</v>
      </c>
      <c r="C39" s="1"/>
      <c r="D39" s="15">
        <f aca="true" t="shared" si="16" ref="D39:L39">D21/C8</f>
        <v>0.11183704842428902</v>
      </c>
      <c r="E39" s="15">
        <f t="shared" si="16"/>
        <v>0.11</v>
      </c>
      <c r="F39" s="15">
        <f t="shared" si="16"/>
        <v>0.11</v>
      </c>
      <c r="G39" s="15">
        <f t="shared" si="16"/>
        <v>0.11</v>
      </c>
      <c r="H39" s="15">
        <f t="shared" si="16"/>
        <v>0.11</v>
      </c>
      <c r="I39" s="15">
        <f t="shared" si="16"/>
        <v>0.11</v>
      </c>
      <c r="J39" s="15">
        <f t="shared" si="16"/>
        <v>0.10999999999999999</v>
      </c>
      <c r="K39" s="15">
        <f t="shared" si="16"/>
        <v>0.11</v>
      </c>
      <c r="L39" s="15">
        <f t="shared" si="16"/>
        <v>0.11</v>
      </c>
      <c r="M39" s="15">
        <v>0</v>
      </c>
      <c r="N39" s="8"/>
    </row>
    <row r="40" spans="1:14" s="18" customFormat="1" ht="11.25" customHeight="1">
      <c r="A40" s="18">
        <v>13</v>
      </c>
      <c r="B40" s="18" t="s">
        <v>32</v>
      </c>
      <c r="C40" s="17"/>
      <c r="D40" s="19">
        <f>D35+D36*D37</f>
        <v>0.137</v>
      </c>
      <c r="E40" s="19">
        <f aca="true" t="shared" si="17" ref="E40:M40">E35+E36*E37</f>
        <v>0.137</v>
      </c>
      <c r="F40" s="19">
        <f t="shared" si="17"/>
        <v>0.137</v>
      </c>
      <c r="G40" s="19">
        <f t="shared" si="17"/>
        <v>0.137</v>
      </c>
      <c r="H40" s="19">
        <f t="shared" si="17"/>
        <v>0.137</v>
      </c>
      <c r="I40" s="19">
        <f t="shared" si="17"/>
        <v>0.137</v>
      </c>
      <c r="J40" s="19">
        <f t="shared" si="17"/>
        <v>0.137</v>
      </c>
      <c r="K40" s="19">
        <f t="shared" si="17"/>
        <v>0.137</v>
      </c>
      <c r="L40" s="19">
        <f t="shared" si="17"/>
        <v>0.137</v>
      </c>
      <c r="M40" s="19">
        <f t="shared" si="17"/>
        <v>0.137</v>
      </c>
      <c r="N40" s="22">
        <f>M40</f>
        <v>0.137</v>
      </c>
    </row>
    <row r="41" spans="3:13" s="12" customFormat="1" ht="10.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3:13" s="12" customFormat="1" ht="10.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2:13" s="12" customFormat="1" ht="10.5">
      <c r="B43" s="12" t="s">
        <v>33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2:14" s="12" customFormat="1" ht="10.5">
      <c r="B44" s="11" t="s">
        <v>38</v>
      </c>
      <c r="C44" s="7">
        <v>1988</v>
      </c>
      <c r="D44" s="7">
        <f aca="true" t="shared" si="18" ref="D44:M44">C44+1</f>
        <v>1989</v>
      </c>
      <c r="E44" s="7">
        <f t="shared" si="18"/>
        <v>1990</v>
      </c>
      <c r="F44" s="7">
        <f t="shared" si="18"/>
        <v>1991</v>
      </c>
      <c r="G44" s="7">
        <f t="shared" si="18"/>
        <v>1992</v>
      </c>
      <c r="H44" s="7">
        <f t="shared" si="18"/>
        <v>1993</v>
      </c>
      <c r="I44" s="7">
        <f t="shared" si="18"/>
        <v>1994</v>
      </c>
      <c r="J44" s="7">
        <f t="shared" si="18"/>
        <v>1995</v>
      </c>
      <c r="K44" s="7">
        <f t="shared" si="18"/>
        <v>1996</v>
      </c>
      <c r="L44" s="7">
        <f t="shared" si="18"/>
        <v>1997</v>
      </c>
      <c r="M44" s="12">
        <f t="shared" si="18"/>
        <v>1998</v>
      </c>
      <c r="N44" s="7"/>
    </row>
    <row r="45" spans="2:14" s="18" customFormat="1" ht="10.5">
      <c r="B45" s="18" t="s">
        <v>32</v>
      </c>
      <c r="C45" s="17"/>
      <c r="D45" s="19">
        <f aca="true" t="shared" si="19" ref="D45:M45">D40</f>
        <v>0.137</v>
      </c>
      <c r="E45" s="19">
        <f t="shared" si="19"/>
        <v>0.137</v>
      </c>
      <c r="F45" s="19">
        <f t="shared" si="19"/>
        <v>0.137</v>
      </c>
      <c r="G45" s="19">
        <f t="shared" si="19"/>
        <v>0.137</v>
      </c>
      <c r="H45" s="19">
        <f t="shared" si="19"/>
        <v>0.137</v>
      </c>
      <c r="I45" s="19">
        <f t="shared" si="19"/>
        <v>0.137</v>
      </c>
      <c r="J45" s="19">
        <f t="shared" si="19"/>
        <v>0.137</v>
      </c>
      <c r="K45" s="19">
        <f t="shared" si="19"/>
        <v>0.137</v>
      </c>
      <c r="L45" s="19">
        <f t="shared" si="19"/>
        <v>0.137</v>
      </c>
      <c r="M45" s="19">
        <f t="shared" si="19"/>
        <v>0.137</v>
      </c>
      <c r="N45" s="22">
        <f>M45</f>
        <v>0.137</v>
      </c>
    </row>
    <row r="46" spans="2:14" s="18" customFormat="1" ht="10.5">
      <c r="B46" s="18" t="s">
        <v>25</v>
      </c>
      <c r="C46" s="17"/>
      <c r="D46" s="21">
        <f>D31</f>
        <v>901.12</v>
      </c>
      <c r="E46" s="21">
        <f aca="true" t="shared" si="20" ref="E46:M46">E31</f>
        <v>1384.92</v>
      </c>
      <c r="F46" s="21">
        <f t="shared" si="20"/>
        <v>1856.38</v>
      </c>
      <c r="G46" s="21">
        <f t="shared" si="20"/>
        <v>2528.4</v>
      </c>
      <c r="H46" s="21">
        <f t="shared" si="20"/>
        <v>2985.28</v>
      </c>
      <c r="I46" s="21">
        <f t="shared" si="20"/>
        <v>3261.04</v>
      </c>
      <c r="J46" s="21">
        <f t="shared" si="20"/>
        <v>3555.28</v>
      </c>
      <c r="K46" s="21">
        <f t="shared" si="20"/>
        <v>3887.6</v>
      </c>
      <c r="L46" s="21">
        <f t="shared" si="20"/>
        <v>4245.94</v>
      </c>
      <c r="M46" s="21">
        <f t="shared" si="20"/>
        <v>4589</v>
      </c>
      <c r="N46" s="18">
        <f>M46*1.02/(M45-0.02)*(1+M45)</f>
        <v>45487.579999999994</v>
      </c>
    </row>
    <row r="47" spans="2:13" s="18" customFormat="1" ht="10.5">
      <c r="B47" s="6" t="s">
        <v>37</v>
      </c>
      <c r="C47" s="16">
        <f>NPV(D45,D46:$N46)</f>
        <v>24246.769380693888</v>
      </c>
      <c r="D47" s="5">
        <f>NPV(E45,E46:$N46)</f>
        <v>26667.45678584895</v>
      </c>
      <c r="E47" s="5">
        <f>NPV(F45,F46:$N46)</f>
        <v>28935.978365510255</v>
      </c>
      <c r="F47" s="5">
        <f>NPV(G45,G46:$N46)</f>
        <v>31043.827401585157</v>
      </c>
      <c r="G47" s="5">
        <f>NPV(H45,H46:$N46)</f>
        <v>32768.43175560233</v>
      </c>
      <c r="H47" s="5">
        <f>NPV(I45,I46:$N46)</f>
        <v>34272.42690611984</v>
      </c>
      <c r="I47" s="5">
        <f>NPV(J45,J46:$N46)</f>
        <v>35706.70939225827</v>
      </c>
      <c r="J47" s="5">
        <f>NPV(K45,K46:$N46)</f>
        <v>37043.24857899765</v>
      </c>
      <c r="K47" s="5">
        <f>NPV(L45,L46:$N46)</f>
        <v>38230.57363432033</v>
      </c>
      <c r="L47" s="5">
        <f>NPV(M45,M46:$N46)</f>
        <v>39222.22222222222</v>
      </c>
      <c r="M47" s="5">
        <f>NPV(N45,N46:$N46)</f>
        <v>40006.666666666664</v>
      </c>
    </row>
    <row r="48" spans="1:14" s="12" customFormat="1" ht="10.5">
      <c r="A48" s="18"/>
      <c r="B48" s="18" t="s">
        <v>34</v>
      </c>
      <c r="C48" s="13"/>
      <c r="D48" s="17">
        <f>C38*0.34*D49</f>
        <v>197.88000000000002</v>
      </c>
      <c r="E48" s="17">
        <f>D38*0.34*E49</f>
        <v>225.08</v>
      </c>
      <c r="F48" s="17">
        <f>E38*0.34*F49</f>
        <v>235.62</v>
      </c>
      <c r="G48" s="17">
        <f>F38*0.34*G49</f>
        <v>234.60000000000002</v>
      </c>
      <c r="H48" s="17">
        <f>G38*0.34*H49</f>
        <v>223.72000000000003</v>
      </c>
      <c r="I48" s="17">
        <f>H38*0.34*I49</f>
        <v>201.96000000000004</v>
      </c>
      <c r="J48" s="17">
        <f>I38*0.34*J49</f>
        <v>155.72</v>
      </c>
      <c r="K48" s="17">
        <f>J38*0.34*K49</f>
        <v>139.40000000000003</v>
      </c>
      <c r="L48" s="17">
        <f>K38*0.34*L49</f>
        <v>88.06</v>
      </c>
      <c r="M48" s="17">
        <f>L38*0.34*M49</f>
        <v>0</v>
      </c>
      <c r="N48" s="18"/>
    </row>
    <row r="49" spans="1:14" s="12" customFormat="1" ht="11.25" thickBot="1">
      <c r="A49" s="18"/>
      <c r="B49" s="8" t="s">
        <v>31</v>
      </c>
      <c r="C49" s="1"/>
      <c r="D49" s="15">
        <f aca="true" t="shared" si="21" ref="D49:M49">D39</f>
        <v>0.11183704842428902</v>
      </c>
      <c r="E49" s="15">
        <f t="shared" si="21"/>
        <v>0.11</v>
      </c>
      <c r="F49" s="15">
        <f t="shared" si="21"/>
        <v>0.11</v>
      </c>
      <c r="G49" s="15">
        <f t="shared" si="21"/>
        <v>0.11</v>
      </c>
      <c r="H49" s="15">
        <f t="shared" si="21"/>
        <v>0.11</v>
      </c>
      <c r="I49" s="15">
        <f t="shared" si="21"/>
        <v>0.11</v>
      </c>
      <c r="J49" s="15">
        <f t="shared" si="21"/>
        <v>0.10999999999999999</v>
      </c>
      <c r="K49" s="15">
        <f t="shared" si="21"/>
        <v>0.11</v>
      </c>
      <c r="L49" s="15">
        <f t="shared" si="21"/>
        <v>0.11</v>
      </c>
      <c r="M49" s="15">
        <f t="shared" si="21"/>
        <v>0</v>
      </c>
      <c r="N49" s="8"/>
    </row>
    <row r="50" spans="1:14" s="12" customFormat="1" ht="12.75" customHeight="1" hidden="1">
      <c r="A50" s="18"/>
      <c r="B50" s="8" t="s">
        <v>35</v>
      </c>
      <c r="C50" s="1"/>
      <c r="D50" s="1">
        <f>(1+D49)</f>
        <v>1.111837048424289</v>
      </c>
      <c r="E50" s="1">
        <f aca="true" t="shared" si="22" ref="E50:M50">(1+E49)*D50</f>
        <v>1.234139123750961</v>
      </c>
      <c r="F50" s="1">
        <f t="shared" si="22"/>
        <v>1.3698944273635667</v>
      </c>
      <c r="G50" s="1">
        <f t="shared" si="22"/>
        <v>1.5205828143735591</v>
      </c>
      <c r="H50" s="1">
        <f t="shared" si="22"/>
        <v>1.6878469239546507</v>
      </c>
      <c r="I50" s="1">
        <f t="shared" si="22"/>
        <v>1.8735100855896625</v>
      </c>
      <c r="J50" s="1">
        <f t="shared" si="22"/>
        <v>2.079596195004525</v>
      </c>
      <c r="K50" s="1">
        <f t="shared" si="22"/>
        <v>2.308351776455023</v>
      </c>
      <c r="L50" s="1">
        <f t="shared" si="22"/>
        <v>2.5622704718650757</v>
      </c>
      <c r="M50" s="1">
        <f t="shared" si="22"/>
        <v>2.5622704718650757</v>
      </c>
      <c r="N50" s="8"/>
    </row>
    <row r="51" spans="1:14" s="12" customFormat="1" ht="12.75" customHeight="1" hidden="1" thickBot="1">
      <c r="A51" s="18"/>
      <c r="B51" s="8" t="s">
        <v>36</v>
      </c>
      <c r="C51" s="1"/>
      <c r="D51" s="1">
        <f>D48/D50</f>
        <v>177.9757207051504</v>
      </c>
      <c r="E51" s="1">
        <f aca="true" t="shared" si="23" ref="E51:L51">E48/E50</f>
        <v>182.37814170894018</v>
      </c>
      <c r="F51" s="1">
        <f t="shared" si="23"/>
        <v>171.9986557310573</v>
      </c>
      <c r="G51" s="1">
        <f t="shared" si="23"/>
        <v>154.28294847370688</v>
      </c>
      <c r="H51" s="1">
        <f t="shared" si="23"/>
        <v>132.5475650812105</v>
      </c>
      <c r="I51" s="1">
        <f t="shared" si="23"/>
        <v>107.79765828505577</v>
      </c>
      <c r="J51" s="1">
        <f t="shared" si="23"/>
        <v>74.87992157999749</v>
      </c>
      <c r="K51" s="1">
        <f t="shared" si="23"/>
        <v>60.38940919744871</v>
      </c>
      <c r="L51" s="1">
        <f t="shared" si="23"/>
        <v>34.36795645383259</v>
      </c>
      <c r="M51" s="1">
        <f>(M48+N51)/M50</f>
        <v>0</v>
      </c>
      <c r="N51" s="8">
        <f>M48*1.02/(M49-0.02)</f>
        <v>0</v>
      </c>
    </row>
    <row r="52" spans="1:14" s="12" customFormat="1" ht="12.75" customHeight="1" thickBot="1">
      <c r="A52" s="18"/>
      <c r="B52" s="6" t="s">
        <v>39</v>
      </c>
      <c r="C52" s="20">
        <f>SUM(D51:M51)</f>
        <v>1096.6179772163998</v>
      </c>
      <c r="D52" s="5">
        <f aca="true" t="shared" si="24" ref="D52:M52">C52*(1+D49)-D48</f>
        <v>1021.3804950372961</v>
      </c>
      <c r="E52" s="5">
        <f t="shared" si="24"/>
        <v>908.6523494913987</v>
      </c>
      <c r="F52" s="5">
        <f t="shared" si="24"/>
        <v>772.9841079354526</v>
      </c>
      <c r="G52" s="5">
        <f t="shared" si="24"/>
        <v>623.4123598083524</v>
      </c>
      <c r="H52" s="5">
        <f t="shared" si="24"/>
        <v>468.2677193872712</v>
      </c>
      <c r="I52" s="5">
        <f t="shared" si="24"/>
        <v>317.8171685198711</v>
      </c>
      <c r="J52" s="5">
        <f t="shared" si="24"/>
        <v>197.05705705705688</v>
      </c>
      <c r="K52" s="5">
        <f t="shared" si="24"/>
        <v>79.33333333333312</v>
      </c>
      <c r="L52" s="5">
        <f t="shared" si="24"/>
        <v>-2.4158453015843406E-13</v>
      </c>
      <c r="M52" s="5">
        <f t="shared" si="24"/>
        <v>-2.4158453015843406E-13</v>
      </c>
      <c r="N52" s="6"/>
    </row>
    <row r="53" spans="2:13" s="18" customFormat="1" ht="11.25" thickBot="1">
      <c r="B53" s="6" t="s">
        <v>40</v>
      </c>
      <c r="C53" s="20">
        <f>C47+C52</f>
        <v>25343.387357910287</v>
      </c>
      <c r="D53" s="23">
        <f aca="true" t="shared" si="25" ref="D53:M53">D47+D52</f>
        <v>27688.837280886248</v>
      </c>
      <c r="E53" s="23">
        <f t="shared" si="25"/>
        <v>29844.630715001655</v>
      </c>
      <c r="F53" s="23">
        <f t="shared" si="25"/>
        <v>31816.81150952061</v>
      </c>
      <c r="G53" s="23">
        <f t="shared" si="25"/>
        <v>33391.844115410684</v>
      </c>
      <c r="H53" s="23">
        <f t="shared" si="25"/>
        <v>34740.694625507116</v>
      </c>
      <c r="I53" s="23">
        <f t="shared" si="25"/>
        <v>36024.52656077814</v>
      </c>
      <c r="J53" s="23">
        <f t="shared" si="25"/>
        <v>37240.305636054705</v>
      </c>
      <c r="K53" s="23">
        <f t="shared" si="25"/>
        <v>38309.90696765367</v>
      </c>
      <c r="L53" s="23">
        <f t="shared" si="25"/>
        <v>39222.22222222222</v>
      </c>
      <c r="M53" s="23">
        <f t="shared" si="25"/>
        <v>40006.666666666664</v>
      </c>
    </row>
    <row r="54" spans="3:13" s="12" customFormat="1" ht="10.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</sheetData>
  <printOptions/>
  <pageMargins left="0.7500000000000001" right="0.39566929133858264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2001-07-09T14:31:03Z</dcterms:created>
  <dcterms:modified xsi:type="dcterms:W3CDTF">2004-03-08T12:30:02Z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1922011786</vt:i4>
  </property>
  <property fmtid="{D5CDD505-2E9C-101B-9397-08002B2CF9AE}" pid="4" name="_EmailSubje">
    <vt:lpwstr>Cambiar estas tablas cap 29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