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28.5" sheetId="1" r:id="rId1"/>
  </sheets>
  <definedNames>
    <definedName name="_xlnm.Print_Area" localSheetId="0">'28.5'!$A$1:$P$242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<sst xmlns="http://schemas.openxmlformats.org/spreadsheetml/2006/main" count="133" uniqueCount="108">
  <si>
    <t>haciendo todo con T efectiva.</t>
  </si>
  <si>
    <t>FCF*</t>
  </si>
  <si>
    <t>Ku</t>
  </si>
  <si>
    <t>Ke</t>
  </si>
  <si>
    <t>WACC</t>
  </si>
  <si>
    <t>FCF\\Ku</t>
  </si>
  <si>
    <t>CFac\\Ku</t>
  </si>
  <si>
    <t>EVA</t>
  </si>
  <si>
    <t>Beta U</t>
  </si>
  <si>
    <t xml:space="preserve">T = </t>
  </si>
  <si>
    <t>Balance y cuenta de resultados</t>
  </si>
  <si>
    <t>Rf</t>
  </si>
  <si>
    <t>E(Rm - Rf)</t>
  </si>
  <si>
    <t>Crecimiento activo fijo neto tras año 9</t>
  </si>
  <si>
    <t>D =</t>
  </si>
  <si>
    <t xml:space="preserve">CRECIMIENTO = </t>
  </si>
  <si>
    <t>imp =</t>
  </si>
  <si>
    <t>r</t>
  </si>
  <si>
    <t>Kd</t>
  </si>
  <si>
    <t>Impuestos/BAT efectivos</t>
  </si>
  <si>
    <t>Flujos:</t>
  </si>
  <si>
    <t>Coste de ventas</t>
  </si>
  <si>
    <t>G=</t>
  </si>
  <si>
    <t>NOF</t>
  </si>
  <si>
    <t>Cuentas a cobrar</t>
  </si>
  <si>
    <t>Stocks</t>
  </si>
  <si>
    <t>Otros activos circulantes</t>
  </si>
  <si>
    <t>Activo fijo bruto</t>
  </si>
  <si>
    <t xml:space="preserve"> - amort acumulada</t>
  </si>
  <si>
    <t>Activo fijo neto</t>
  </si>
  <si>
    <t>Otros activos</t>
  </si>
  <si>
    <t>TOTAL ACTIVO</t>
  </si>
  <si>
    <t>Cuentas a pagar</t>
  </si>
  <si>
    <t>Otros pasivos</t>
  </si>
  <si>
    <t>Deuda (N)</t>
  </si>
  <si>
    <t>Capital (valor contable)</t>
  </si>
  <si>
    <t>TOTAL PASIVO</t>
  </si>
  <si>
    <t>Cuenta de resultados</t>
  </si>
  <si>
    <t>Cambio ventas</t>
  </si>
  <si>
    <t>Ventas</t>
  </si>
  <si>
    <t>Coste de ventas-otros</t>
  </si>
  <si>
    <t>Gastos generales</t>
  </si>
  <si>
    <t>Amortización</t>
  </si>
  <si>
    <t>Margen</t>
  </si>
  <si>
    <t>Intereses</t>
  </si>
  <si>
    <t>Resultado extraordinario</t>
  </si>
  <si>
    <t>BAT</t>
  </si>
  <si>
    <t>Impuestos</t>
  </si>
  <si>
    <r>
      <t>BDT</t>
    </r>
    <r>
      <rPr>
        <sz val="9"/>
        <rFont val="Tms Rmn"/>
        <family val="0"/>
      </rPr>
      <t xml:space="preserve"> (beneficio neto)</t>
    </r>
  </si>
  <si>
    <t xml:space="preserve"> + Amortización</t>
  </si>
  <si>
    <t xml:space="preserve"> + ∆ Deuda</t>
  </si>
  <si>
    <t xml:space="preserve"> - ∆ NOF</t>
  </si>
  <si>
    <t xml:space="preserve"> - Inversiones</t>
  </si>
  <si>
    <t>Otros Activos</t>
  </si>
  <si>
    <t xml:space="preserve"> - Otros ajustes</t>
  </si>
  <si>
    <t>CF acciones = Dividendos</t>
  </si>
  <si>
    <t>FCF</t>
  </si>
  <si>
    <t>CFd</t>
  </si>
  <si>
    <t>CCF</t>
  </si>
  <si>
    <t>Cash flow contable (bfo + amort)</t>
  </si>
  <si>
    <t>WACC = (EKe+DKd-NrT)/(E+D)</t>
  </si>
  <si>
    <r>
      <t>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 xml:space="preserve"> = (EKe+DKd)/(E+D)</t>
    </r>
  </si>
  <si>
    <t>BETAu</t>
  </si>
  <si>
    <t>Rm - Rf</t>
  </si>
  <si>
    <t>1  /  [(1+Ku1)x(1+Ku2)..]</t>
  </si>
  <si>
    <t>VANo  FCF t</t>
  </si>
  <si>
    <t>Vu = VAN (Ku;FCF)</t>
  </si>
  <si>
    <t>Crecimiento de Vu</t>
  </si>
  <si>
    <t>N</t>
  </si>
  <si>
    <t>1  /  [(1+Kd1)x(1+Kd2)..]</t>
  </si>
  <si>
    <t>VANo  CFd t</t>
  </si>
  <si>
    <t>D = VAN(CFd;Kd)</t>
  </si>
  <si>
    <t>Beta d</t>
  </si>
  <si>
    <t>D T Ku + T (Nr - DKd)</t>
  </si>
  <si>
    <t>VANo  D T Ku t</t>
  </si>
  <si>
    <t xml:space="preserve"> - D =</t>
  </si>
  <si>
    <t>E 1</t>
  </si>
  <si>
    <t>Crecimiento de E</t>
  </si>
  <si>
    <t>BETAe</t>
  </si>
  <si>
    <t>1  /  [(1+Ke1)x(1+Ke2)..]</t>
  </si>
  <si>
    <t>VANo  CFacc t</t>
  </si>
  <si>
    <t>E 2 = VAN(Ke;CFacc)</t>
  </si>
  <si>
    <t>Et = Et-1 * (1+Ke) - CFacc</t>
  </si>
  <si>
    <t>1  /  [(1+wacc1)x(1+wacc2)..]</t>
  </si>
  <si>
    <t>D + E =</t>
  </si>
  <si>
    <t>VAN(WACC;FCF)</t>
  </si>
  <si>
    <t>E 3</t>
  </si>
  <si>
    <t>(D+E)t = (D+E)t-1*(1+WACC)-FCF</t>
  </si>
  <si>
    <r>
      <t>WACC</t>
    </r>
    <r>
      <rPr>
        <b/>
        <vertAlign val="subscript"/>
        <sz val="9"/>
        <rFont val="Tms Rmn"/>
        <family val="0"/>
      </rPr>
      <t>BT</t>
    </r>
  </si>
  <si>
    <r>
      <t>1  /  [(1+WACC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1)x(1+WACC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2)..]</t>
    </r>
  </si>
  <si>
    <t>VANo  CCF t</t>
  </si>
  <si>
    <r>
      <t>VAN(WACC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;CCF)</t>
    </r>
  </si>
  <si>
    <t>E 4</t>
  </si>
  <si>
    <t>BE (Beneficio económico)</t>
  </si>
  <si>
    <t>VANo  BE t</t>
  </si>
  <si>
    <t>VAN(Ke;BE)</t>
  </si>
  <si>
    <t xml:space="preserve"> +Evc=</t>
  </si>
  <si>
    <t>E5</t>
  </si>
  <si>
    <t>VANo  EVA t</t>
  </si>
  <si>
    <t>VAN(WACC;EVA)</t>
  </si>
  <si>
    <r>
      <t xml:space="preserve"> +Evc -(D-N)=  </t>
    </r>
    <r>
      <rPr>
        <b/>
        <sz val="9"/>
        <rFont val="Tms Rmn"/>
        <family val="0"/>
      </rPr>
      <t xml:space="preserve"> E6</t>
    </r>
  </si>
  <si>
    <t>E7 = VAN(Ku;CFac\\Ku)</t>
  </si>
  <si>
    <t>D + E''' =</t>
  </si>
  <si>
    <t>VAN(Ku;FCF\\Ku)</t>
  </si>
  <si>
    <t>E 8</t>
  </si>
  <si>
    <t>VTS + Vu</t>
  </si>
  <si>
    <t>VAN(Ku;D T Ku + T (Nr - DKd)) = VTS</t>
  </si>
  <si>
    <t>Valoración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</si>
</sst>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d/m/yy\ h:mm"/>
    <numFmt numFmtId="181" formatCode="0.000000"/>
    <numFmt numFmtId="182" formatCode="0.0000%"/>
    <numFmt numFmtId="183" formatCode="0.0000"/>
    <numFmt numFmtId="184" formatCode="0.0000000"/>
    <numFmt numFmtId="185" formatCode="0.000%"/>
    <numFmt numFmtId="186" formatCode="#,##0.0"/>
    <numFmt numFmtId="187" formatCode="0.0%"/>
    <numFmt numFmtId="188" formatCode="#,##0.0&quot;Pts&quot;;[Red]\-#,##0.0&quot;Pts&quot;"/>
    <numFmt numFmtId="189" formatCode="0.000"/>
    <numFmt numFmtId="190" formatCode="#,##0.000"/>
    <numFmt numFmtId="191" formatCode="#,##0.0000"/>
    <numFmt numFmtId="192" formatCode="0.0"/>
    <numFmt numFmtId="193" formatCode="#,##0.00000"/>
    <numFmt numFmtId="194" formatCode="#,##0.000000"/>
    <numFmt numFmtId="195" formatCode="#,##0.0000000"/>
    <numFmt numFmtId="196" formatCode="#,##0.000&quot;Pts&quot;;[Red]\-#,##0.000&quot;Pts&quot;"/>
    <numFmt numFmtId="197" formatCode="#,##0.0000&quot;Pts&quot;;[Red]\-#,##0.0000&quot;Pts&quot;"/>
  </numFmts>
  <fonts count="16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b/>
      <sz val="10"/>
      <name val="Tms Rmn"/>
      <family val="0"/>
    </font>
    <font>
      <b/>
      <vertAlign val="subscript"/>
      <sz val="9"/>
      <name val="Tms Rmn"/>
      <family val="0"/>
    </font>
    <font>
      <vertAlign val="subscript"/>
      <sz val="9"/>
      <name val="Tms Rmn"/>
      <family val="0"/>
    </font>
    <font>
      <b/>
      <i/>
      <u val="single"/>
      <sz val="9"/>
      <name val="Tms Rmn"/>
      <family val="0"/>
    </font>
    <font>
      <b/>
      <sz val="12"/>
      <name val="Tms Rmn"/>
      <family val="0"/>
    </font>
    <font>
      <b/>
      <u val="single"/>
      <sz val="10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" xfId="0" applyNumberFormat="1" applyBorder="1" applyAlignment="1">
      <alignment/>
    </xf>
    <xf numFmtId="10" fontId="5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1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0" fontId="6" fillId="0" borderId="1" xfId="0" applyNumberFormat="1" applyFont="1" applyBorder="1" applyAlignment="1">
      <alignment/>
    </xf>
    <xf numFmtId="10" fontId="5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2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2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0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10" fontId="5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184" fontId="0" fillId="0" borderId="0" xfId="0" applyNumberFormat="1" applyFont="1" applyAlignment="1">
      <alignment/>
    </xf>
    <xf numFmtId="0" fontId="7" fillId="0" borderId="2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0" fontId="7" fillId="0" borderId="1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4" fontId="7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10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10" fontId="6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91" fontId="5" fillId="0" borderId="0" xfId="0" applyNumberFormat="1" applyFont="1" applyAlignment="1">
      <alignment horizontal="right"/>
    </xf>
    <xf numFmtId="3" fontId="5" fillId="0" borderId="5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186" fontId="7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83" fontId="0" fillId="0" borderId="2" xfId="0" applyNumberFormat="1" applyFont="1" applyBorder="1" applyAlignment="1">
      <alignment/>
    </xf>
    <xf numFmtId="183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11" fillId="0" borderId="0" xfId="0" applyFont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Border="1" applyAlignment="1">
      <alignment/>
    </xf>
    <xf numFmtId="0" fontId="12" fillId="0" borderId="0" xfId="0" applyFont="1" applyAlignment="1">
      <alignment horizontal="center"/>
    </xf>
    <xf numFmtId="2" fontId="7" fillId="0" borderId="4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10" fontId="7" fillId="0" borderId="2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right"/>
    </xf>
    <xf numFmtId="2" fontId="5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right"/>
    </xf>
    <xf numFmtId="10" fontId="5" fillId="0" borderId="10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10" fontId="5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10" fontId="0" fillId="0" borderId="14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10" fontId="5" fillId="0" borderId="14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185" fontId="7" fillId="0" borderId="1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0" fontId="7" fillId="0" borderId="0" xfId="19" applyNumberFormat="1" applyFont="1" applyAlignment="1">
      <alignment/>
    </xf>
    <xf numFmtId="10" fontId="7" fillId="0" borderId="1" xfId="19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10" fontId="7" fillId="0" borderId="14" xfId="19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183" fontId="0" fillId="0" borderId="3" xfId="0" applyNumberFormat="1" applyFont="1" applyBorder="1" applyAlignment="1">
      <alignment/>
    </xf>
    <xf numFmtId="0" fontId="6" fillId="0" borderId="1" xfId="0" applyFont="1" applyBorder="1" applyAlignment="1">
      <alignment/>
    </xf>
    <xf numFmtId="183" fontId="0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5" fillId="0" borderId="16" xfId="19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95" fontId="6" fillId="0" borderId="0" xfId="0" applyNumberFormat="1" applyFont="1" applyAlignment="1">
      <alignment/>
    </xf>
    <xf numFmtId="0" fontId="13" fillId="0" borderId="0" xfId="0" applyFont="1" applyAlignment="1">
      <alignment/>
    </xf>
    <xf numFmtId="19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5" xfId="0" applyFont="1" applyBorder="1" applyAlignment="1">
      <alignment/>
    </xf>
    <xf numFmtId="185" fontId="5" fillId="0" borderId="15" xfId="19" applyNumberFormat="1" applyFont="1" applyBorder="1" applyAlignment="1">
      <alignment/>
    </xf>
    <xf numFmtId="10" fontId="5" fillId="0" borderId="15" xfId="19" applyNumberFormat="1" applyFont="1" applyBorder="1" applyAlignment="1">
      <alignment/>
    </xf>
    <xf numFmtId="10" fontId="5" fillId="0" borderId="17" xfId="19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Border="1" applyAlignment="1">
      <alignment horizontal="right"/>
    </xf>
    <xf numFmtId="186" fontId="0" fillId="0" borderId="1" xfId="0" applyNumberFormat="1" applyFont="1" applyBorder="1" applyAlignment="1">
      <alignment/>
    </xf>
    <xf numFmtId="186" fontId="0" fillId="0" borderId="0" xfId="0" applyNumberFormat="1" applyFont="1" applyAlignment="1">
      <alignment horizontal="right"/>
    </xf>
    <xf numFmtId="186" fontId="0" fillId="0" borderId="1" xfId="0" applyNumberFormat="1" applyFont="1" applyBorder="1" applyAlignment="1">
      <alignment horizontal="right"/>
    </xf>
    <xf numFmtId="186" fontId="7" fillId="0" borderId="2" xfId="0" applyNumberFormat="1" applyFont="1" applyBorder="1" applyAlignment="1">
      <alignment horizontal="right"/>
    </xf>
    <xf numFmtId="186" fontId="7" fillId="0" borderId="3" xfId="0" applyNumberFormat="1" applyFon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92" fontId="7" fillId="0" borderId="4" xfId="0" applyNumberFormat="1" applyFont="1" applyBorder="1" applyAlignment="1">
      <alignment horizontal="right"/>
    </xf>
    <xf numFmtId="192" fontId="0" fillId="0" borderId="0" xfId="0" applyNumberFormat="1" applyFont="1" applyAlignment="1">
      <alignment/>
    </xf>
    <xf numFmtId="192" fontId="7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9" fontId="7" fillId="0" borderId="4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workbookViewId="0" topLeftCell="A58">
      <selection activeCell="C91" sqref="C91"/>
    </sheetView>
  </sheetViews>
  <sheetFormatPr defaultColWidth="9.00390625" defaultRowHeight="12"/>
  <cols>
    <col min="1" max="1" width="4.375" style="16" customWidth="1"/>
    <col min="2" max="2" width="8.75390625" style="4" customWidth="1"/>
    <col min="3" max="3" width="37.25390625" style="4" customWidth="1"/>
    <col min="4" max="6" width="10.00390625" style="4" customWidth="1"/>
    <col min="7" max="7" width="10.00390625" style="34" customWidth="1"/>
    <col min="8" max="8" width="10.00390625" style="4" customWidth="1"/>
    <col min="9" max="9" width="10.25390625" style="4" customWidth="1"/>
    <col min="10" max="11" width="10.25390625" style="0" customWidth="1"/>
    <col min="12" max="16" width="10.00390625" style="0" customWidth="1"/>
    <col min="17" max="17" width="11.25390625" style="0" customWidth="1"/>
    <col min="18" max="23" width="11.00390625" style="72" customWidth="1"/>
    <col min="24" max="16384" width="11.00390625" style="4" customWidth="1"/>
  </cols>
  <sheetData>
    <row r="1" spans="1:9" ht="16.5" thickBot="1">
      <c r="A1" s="17"/>
      <c r="B1" s="23"/>
      <c r="C1" s="123" t="s">
        <v>8</v>
      </c>
      <c r="D1" s="124">
        <v>1</v>
      </c>
      <c r="E1" s="130" t="s">
        <v>9</v>
      </c>
      <c r="F1" s="131">
        <f>H6</f>
        <v>0.35</v>
      </c>
      <c r="G1" s="27"/>
      <c r="H1" s="14"/>
      <c r="I1" s="110" t="s">
        <v>10</v>
      </c>
    </row>
    <row r="2" spans="1:9" ht="12" customHeight="1" thickBot="1">
      <c r="A2" s="17"/>
      <c r="B2" s="23"/>
      <c r="C2" s="125" t="s">
        <v>11</v>
      </c>
      <c r="D2" s="126">
        <v>0.1</v>
      </c>
      <c r="E2"/>
      <c r="F2" s="9"/>
      <c r="G2" s="27"/>
      <c r="H2" s="14"/>
      <c r="I2" s="18"/>
    </row>
    <row r="3" spans="1:15" ht="12" customHeight="1" thickBot="1">
      <c r="A3" s="17"/>
      <c r="B3" s="23"/>
      <c r="C3" s="125" t="s">
        <v>12</v>
      </c>
      <c r="D3" s="126">
        <v>0.05</v>
      </c>
      <c r="E3" s="165" t="s">
        <v>0</v>
      </c>
      <c r="F3" s="9"/>
      <c r="G3" s="27"/>
      <c r="H3" s="14"/>
      <c r="I3" s="18"/>
      <c r="L3" s="148"/>
      <c r="M3" s="149"/>
      <c r="N3" s="150" t="s">
        <v>13</v>
      </c>
      <c r="O3" s="151">
        <f>O8</f>
        <v>0.04</v>
      </c>
    </row>
    <row r="4" spans="1:8" ht="12" customHeight="1" hidden="1">
      <c r="A4" s="17"/>
      <c r="B4" s="23"/>
      <c r="C4" s="127"/>
      <c r="D4" s="126"/>
      <c r="E4" s="23"/>
      <c r="F4" s="9"/>
      <c r="G4" s="27"/>
      <c r="H4" s="14"/>
    </row>
    <row r="5" spans="1:8" ht="12" customHeight="1" hidden="1">
      <c r="A5" s="17"/>
      <c r="B5" s="23"/>
      <c r="C5" s="127"/>
      <c r="D5" s="126"/>
      <c r="E5" s="23"/>
      <c r="F5" s="9"/>
      <c r="G5" s="27"/>
      <c r="H5" s="14"/>
    </row>
    <row r="6" spans="1:8" ht="12" customHeight="1" hidden="1">
      <c r="A6" s="17"/>
      <c r="B6" s="23" t="s">
        <v>14</v>
      </c>
      <c r="C6" s="127">
        <f>D21</f>
        <v>1000</v>
      </c>
      <c r="D6" s="126"/>
      <c r="E6" s="23" t="s">
        <v>15</v>
      </c>
      <c r="F6" s="9">
        <f>O8</f>
        <v>0.04</v>
      </c>
      <c r="G6" s="27" t="s">
        <v>16</v>
      </c>
      <c r="H6" s="14">
        <v>0.35</v>
      </c>
    </row>
    <row r="7" spans="1:8" ht="12" customHeight="1" thickBot="1">
      <c r="A7" s="17"/>
      <c r="B7" s="23"/>
      <c r="C7" s="125" t="s">
        <v>17</v>
      </c>
      <c r="D7" s="126">
        <v>0.12</v>
      </c>
      <c r="E7" s="23"/>
      <c r="F7" s="9"/>
      <c r="G7" s="27"/>
      <c r="H7" s="14"/>
    </row>
    <row r="8" spans="1:15" ht="12" customHeight="1" thickBot="1">
      <c r="A8" s="17"/>
      <c r="B8" s="23"/>
      <c r="C8" s="128" t="s">
        <v>18</v>
      </c>
      <c r="D8" s="129">
        <v>0.13</v>
      </c>
      <c r="E8" s="167"/>
      <c r="F8" s="44"/>
      <c r="G8" s="27"/>
      <c r="H8" s="14"/>
      <c r="M8" s="33"/>
      <c r="N8" s="132" t="s">
        <v>22</v>
      </c>
      <c r="O8" s="133">
        <v>0.04</v>
      </c>
    </row>
    <row r="9" spans="1:17" ht="12" customHeight="1" thickBot="1">
      <c r="A9" s="17"/>
      <c r="B9"/>
      <c r="C9"/>
      <c r="D9" s="106">
        <v>0</v>
      </c>
      <c r="E9" s="106">
        <v>1</v>
      </c>
      <c r="F9" s="106">
        <f aca="true" t="shared" si="0" ref="F9:O9">E9+1</f>
        <v>2</v>
      </c>
      <c r="G9" s="112">
        <f t="shared" si="0"/>
        <v>3</v>
      </c>
      <c r="H9" s="106">
        <f t="shared" si="0"/>
        <v>4</v>
      </c>
      <c r="I9" s="106">
        <f t="shared" si="0"/>
        <v>5</v>
      </c>
      <c r="J9" s="106">
        <f t="shared" si="0"/>
        <v>6</v>
      </c>
      <c r="K9" s="106">
        <f t="shared" si="0"/>
        <v>7</v>
      </c>
      <c r="L9" s="106">
        <f t="shared" si="0"/>
        <v>8</v>
      </c>
      <c r="M9" s="112">
        <f t="shared" si="0"/>
        <v>9</v>
      </c>
      <c r="N9" s="106">
        <f t="shared" si="0"/>
        <v>10</v>
      </c>
      <c r="O9" s="106">
        <f t="shared" si="0"/>
        <v>11</v>
      </c>
      <c r="P9" s="106">
        <f>O9+1</f>
        <v>12</v>
      </c>
      <c r="Q9" s="106">
        <f>P9+1</f>
        <v>13</v>
      </c>
    </row>
    <row r="10" spans="1:17" ht="12" customHeight="1">
      <c r="A10" s="17">
        <v>1</v>
      </c>
      <c r="B10" s="22"/>
      <c r="C10" s="15" t="s">
        <v>23</v>
      </c>
      <c r="D10" s="179">
        <v>400</v>
      </c>
      <c r="E10" s="179">
        <v>430</v>
      </c>
      <c r="F10" s="179">
        <v>515</v>
      </c>
      <c r="G10" s="180">
        <v>550</v>
      </c>
      <c r="H10" s="183">
        <f aca="true" t="shared" si="1" ref="H10:M10">G10*(1+$O$8)</f>
        <v>572</v>
      </c>
      <c r="I10" s="3">
        <f t="shared" si="1"/>
        <v>594.88</v>
      </c>
      <c r="J10" s="3">
        <f t="shared" si="1"/>
        <v>618.6752</v>
      </c>
      <c r="K10" s="3">
        <f t="shared" si="1"/>
        <v>643.4222080000001</v>
      </c>
      <c r="L10" s="3">
        <f t="shared" si="1"/>
        <v>669.1590963200001</v>
      </c>
      <c r="M10" s="3">
        <f t="shared" si="1"/>
        <v>695.9254601728002</v>
      </c>
      <c r="N10" s="3">
        <f>M10*(1+$O$8)</f>
        <v>723.7624785797123</v>
      </c>
      <c r="O10" s="3">
        <f>N10*(1+$O$8)</f>
        <v>752.7129777229007</v>
      </c>
      <c r="P10" s="3">
        <f>O10*(1+$O$8)</f>
        <v>782.8214968318168</v>
      </c>
      <c r="Q10" s="3">
        <f>P10*(1+$O$8)</f>
        <v>814.1343567050895</v>
      </c>
    </row>
    <row r="11" spans="1:17" ht="12" customHeight="1" hidden="1">
      <c r="A11" s="17">
        <v>2</v>
      </c>
      <c r="B11" s="22"/>
      <c r="C11" s="15" t="s">
        <v>24</v>
      </c>
      <c r="D11" s="179"/>
      <c r="E11" s="179"/>
      <c r="F11" s="179"/>
      <c r="G11" s="180"/>
      <c r="H11" s="184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" customHeight="1" hidden="1">
      <c r="A12" s="17">
        <v>3</v>
      </c>
      <c r="B12" s="22"/>
      <c r="C12" s="15" t="s">
        <v>25</v>
      </c>
      <c r="D12" s="179"/>
      <c r="E12" s="179"/>
      <c r="F12" s="179"/>
      <c r="G12" s="180"/>
      <c r="H12" s="184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" customHeight="1" hidden="1">
      <c r="A13" s="17">
        <v>4</v>
      </c>
      <c r="B13" s="22"/>
      <c r="C13" s="15" t="s">
        <v>26</v>
      </c>
      <c r="D13" s="179"/>
      <c r="E13" s="179"/>
      <c r="F13" s="179"/>
      <c r="G13" s="180"/>
      <c r="H13" s="184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" customHeight="1">
      <c r="A14" s="17">
        <v>5</v>
      </c>
      <c r="B14" s="22"/>
      <c r="C14" s="15" t="s">
        <v>27</v>
      </c>
      <c r="D14" s="179">
        <v>1600</v>
      </c>
      <c r="E14" s="176">
        <v>1800</v>
      </c>
      <c r="F14" s="176">
        <v>2300</v>
      </c>
      <c r="G14" s="178">
        <v>2600</v>
      </c>
      <c r="H14" s="183">
        <f aca="true" t="shared" si="2" ref="H14:M14">H16+H15</f>
        <v>2956</v>
      </c>
      <c r="I14" s="3">
        <f t="shared" si="2"/>
        <v>3326.24</v>
      </c>
      <c r="J14" s="3">
        <f t="shared" si="2"/>
        <v>3711.2896</v>
      </c>
      <c r="K14" s="3">
        <f t="shared" si="2"/>
        <v>4111.741184</v>
      </c>
      <c r="L14" s="3">
        <f t="shared" si="2"/>
        <v>4528.21083136</v>
      </c>
      <c r="M14" s="3">
        <f t="shared" si="2"/>
        <v>4961.339264614401</v>
      </c>
      <c r="N14" s="3">
        <f>N16+N15</f>
        <v>5411.792835198978</v>
      </c>
      <c r="O14" s="3">
        <f>O16+O15</f>
        <v>5880.264548606936</v>
      </c>
      <c r="P14" s="3">
        <f>P16+P15</f>
        <v>6367.4751305512145</v>
      </c>
      <c r="Q14" s="3">
        <f>Q16+Q15</f>
        <v>6874.174135773263</v>
      </c>
    </row>
    <row r="15" spans="1:17" ht="12" customHeight="1">
      <c r="A15" s="17">
        <v>6</v>
      </c>
      <c r="B15" s="22"/>
      <c r="C15" s="15" t="s">
        <v>28</v>
      </c>
      <c r="D15" s="179"/>
      <c r="E15" s="176">
        <f aca="true" t="shared" si="3" ref="E15:Q15">D15+E33</f>
        <v>200</v>
      </c>
      <c r="F15" s="176">
        <f t="shared" si="3"/>
        <v>450</v>
      </c>
      <c r="G15" s="178">
        <f t="shared" si="3"/>
        <v>720</v>
      </c>
      <c r="H15" s="183">
        <f t="shared" si="3"/>
        <v>1000.8</v>
      </c>
      <c r="I15" s="3">
        <f t="shared" si="3"/>
        <v>1292.8319999999999</v>
      </c>
      <c r="J15" s="3">
        <f t="shared" si="3"/>
        <v>1596.5452799999998</v>
      </c>
      <c r="K15" s="3">
        <f t="shared" si="3"/>
        <v>1912.4070912</v>
      </c>
      <c r="L15" s="3">
        <f t="shared" si="3"/>
        <v>2240.903374848</v>
      </c>
      <c r="M15" s="3">
        <f t="shared" si="3"/>
        <v>2582.5395098419203</v>
      </c>
      <c r="N15" s="3">
        <f t="shared" si="3"/>
        <v>2937.841090235597</v>
      </c>
      <c r="O15" s="3">
        <f t="shared" si="3"/>
        <v>3307.354733845021</v>
      </c>
      <c r="P15" s="3">
        <f t="shared" si="3"/>
        <v>3691.648923198822</v>
      </c>
      <c r="Q15" s="3">
        <f t="shared" si="3"/>
        <v>4091.3148801267753</v>
      </c>
    </row>
    <row r="16" spans="1:17" ht="12" customHeight="1">
      <c r="A16" s="17">
        <v>7</v>
      </c>
      <c r="B16" s="22"/>
      <c r="C16" s="15" t="s">
        <v>29</v>
      </c>
      <c r="D16" s="179">
        <f>D14-D15</f>
        <v>1600</v>
      </c>
      <c r="E16" s="179">
        <f>E14-E15</f>
        <v>1600</v>
      </c>
      <c r="F16" s="179">
        <f>F14-F15</f>
        <v>1850</v>
      </c>
      <c r="G16" s="180">
        <f>G14-G15</f>
        <v>1880</v>
      </c>
      <c r="H16" s="184">
        <f aca="true" t="shared" si="4" ref="H16:Q16">G16*(1+$O3)</f>
        <v>1955.2</v>
      </c>
      <c r="I16" s="40">
        <f t="shared" si="4"/>
        <v>2033.4080000000001</v>
      </c>
      <c r="J16" s="40">
        <f t="shared" si="4"/>
        <v>2114.7443200000002</v>
      </c>
      <c r="K16" s="40">
        <f t="shared" si="4"/>
        <v>2199.3340928000002</v>
      </c>
      <c r="L16" s="40">
        <f t="shared" si="4"/>
        <v>2287.3074565120005</v>
      </c>
      <c r="M16" s="40">
        <f t="shared" si="4"/>
        <v>2378.799754772481</v>
      </c>
      <c r="N16" s="40">
        <f t="shared" si="4"/>
        <v>2473.95174496338</v>
      </c>
      <c r="O16" s="40">
        <f t="shared" si="4"/>
        <v>2572.909814761915</v>
      </c>
      <c r="P16" s="40">
        <f t="shared" si="4"/>
        <v>2675.826207352392</v>
      </c>
      <c r="Q16" s="40">
        <f t="shared" si="4"/>
        <v>2782.859255646488</v>
      </c>
    </row>
    <row r="17" spans="1:17" ht="12" customHeight="1" hidden="1">
      <c r="A17" s="17">
        <v>8</v>
      </c>
      <c r="B17" s="22"/>
      <c r="C17" s="15" t="s">
        <v>30</v>
      </c>
      <c r="D17" s="179"/>
      <c r="E17" s="179"/>
      <c r="F17" s="179"/>
      <c r="G17" s="180"/>
      <c r="H17" s="179"/>
      <c r="I17" s="51"/>
      <c r="J17" s="29"/>
      <c r="K17" s="29"/>
      <c r="L17" s="40"/>
      <c r="M17" s="37"/>
      <c r="N17" s="40"/>
      <c r="O17" s="40"/>
      <c r="P17" s="40"/>
      <c r="Q17" s="40"/>
    </row>
    <row r="18" spans="1:23" s="45" customFormat="1" ht="12" customHeight="1">
      <c r="A18" s="48">
        <v>9</v>
      </c>
      <c r="B18" s="50"/>
      <c r="C18" s="116" t="s">
        <v>31</v>
      </c>
      <c r="D18" s="181">
        <f>D10+D11+D12+D13+D16+D17</f>
        <v>2000</v>
      </c>
      <c r="E18" s="181">
        <f aca="true" t="shared" si="5" ref="E18:Q18">E10+E11+E12+E13+E16+E17</f>
        <v>2030</v>
      </c>
      <c r="F18" s="181">
        <f t="shared" si="5"/>
        <v>2365</v>
      </c>
      <c r="G18" s="182">
        <f t="shared" si="5"/>
        <v>2430</v>
      </c>
      <c r="H18" s="181">
        <f t="shared" si="5"/>
        <v>2527.2</v>
      </c>
      <c r="I18" s="157">
        <f t="shared" si="5"/>
        <v>2628.288</v>
      </c>
      <c r="J18" s="117">
        <f t="shared" si="5"/>
        <v>2733.4195200000004</v>
      </c>
      <c r="K18" s="117">
        <f t="shared" si="5"/>
        <v>2842.7563008</v>
      </c>
      <c r="L18" s="117">
        <f t="shared" si="5"/>
        <v>2956.4665528320006</v>
      </c>
      <c r="M18" s="134">
        <f t="shared" si="5"/>
        <v>3074.725214945281</v>
      </c>
      <c r="N18" s="117">
        <f t="shared" si="5"/>
        <v>3197.714223543092</v>
      </c>
      <c r="O18" s="117">
        <f t="shared" si="5"/>
        <v>3325.622792484816</v>
      </c>
      <c r="P18" s="117">
        <f t="shared" si="5"/>
        <v>3458.647704184209</v>
      </c>
      <c r="Q18" s="117">
        <f t="shared" si="5"/>
        <v>3596.993612351577</v>
      </c>
      <c r="R18" s="72"/>
      <c r="S18" s="72"/>
      <c r="T18" s="72"/>
      <c r="U18" s="72"/>
      <c r="V18" s="72"/>
      <c r="W18" s="72"/>
    </row>
    <row r="19" spans="1:17" ht="12" customHeight="1" hidden="1">
      <c r="A19" s="17">
        <v>10</v>
      </c>
      <c r="B19" s="22"/>
      <c r="C19" s="15" t="s">
        <v>32</v>
      </c>
      <c r="D19" s="30"/>
      <c r="E19" s="30"/>
      <c r="F19" s="30"/>
      <c r="G19" s="137"/>
      <c r="H19" s="179"/>
      <c r="I19" s="51"/>
      <c r="J19" s="29"/>
      <c r="K19" s="29"/>
      <c r="L19" s="40"/>
      <c r="M19" s="37"/>
      <c r="N19" s="40"/>
      <c r="O19" s="40"/>
      <c r="P19" s="40"/>
      <c r="Q19" s="40"/>
    </row>
    <row r="20" spans="1:17" ht="12" customHeight="1" hidden="1">
      <c r="A20" s="17">
        <v>11</v>
      </c>
      <c r="B20" s="22"/>
      <c r="C20" s="15" t="s">
        <v>33</v>
      </c>
      <c r="D20" s="30"/>
      <c r="E20" s="30"/>
      <c r="F20" s="30"/>
      <c r="G20" s="137"/>
      <c r="H20" s="179"/>
      <c r="I20" s="51"/>
      <c r="J20" s="29"/>
      <c r="K20" s="29"/>
      <c r="L20" s="40"/>
      <c r="M20" s="37"/>
      <c r="N20" s="40"/>
      <c r="O20" s="40"/>
      <c r="P20" s="40"/>
      <c r="Q20" s="40"/>
    </row>
    <row r="21" spans="1:17" ht="12" customHeight="1">
      <c r="A21" s="17">
        <v>12</v>
      </c>
      <c r="B21" s="22"/>
      <c r="C21" s="15" t="s">
        <v>34</v>
      </c>
      <c r="D21" s="177">
        <v>1000</v>
      </c>
      <c r="E21" s="176">
        <v>1250</v>
      </c>
      <c r="F21" s="176">
        <v>1280.5</v>
      </c>
      <c r="G21" s="178">
        <v>1100</v>
      </c>
      <c r="H21" s="183">
        <f aca="true" t="shared" si="6" ref="H21:M21">G21*(1+$O$8)</f>
        <v>1144</v>
      </c>
      <c r="I21" s="3">
        <f t="shared" si="6"/>
        <v>1189.76</v>
      </c>
      <c r="J21" s="3">
        <f t="shared" si="6"/>
        <v>1237.3504</v>
      </c>
      <c r="K21" s="3">
        <f t="shared" si="6"/>
        <v>1286.8444160000001</v>
      </c>
      <c r="L21" s="3">
        <f t="shared" si="6"/>
        <v>1338.3181926400002</v>
      </c>
      <c r="M21" s="3">
        <f t="shared" si="6"/>
        <v>1391.8509203456003</v>
      </c>
      <c r="N21" s="3">
        <f>M21*(1+$O$8)</f>
        <v>1447.5249571594245</v>
      </c>
      <c r="O21" s="3">
        <f>N21*(1+$O$8)</f>
        <v>1505.4259554458015</v>
      </c>
      <c r="P21" s="3">
        <f>O21*(1+$O$8)</f>
        <v>1565.6429936636337</v>
      </c>
      <c r="Q21" s="3">
        <f>P21*(1+$O$8)</f>
        <v>1628.268713410179</v>
      </c>
    </row>
    <row r="22" spans="1:17" ht="12" customHeight="1">
      <c r="A22" s="17">
        <v>13</v>
      </c>
      <c r="B22" s="22"/>
      <c r="C22" s="15" t="s">
        <v>35</v>
      </c>
      <c r="D22" s="177">
        <v>1000</v>
      </c>
      <c r="E22" s="179">
        <f aca="true" t="shared" si="7" ref="E22:Q22">D22+E39-E50</f>
        <v>780</v>
      </c>
      <c r="F22" s="179">
        <f t="shared" si="7"/>
        <v>1084.5</v>
      </c>
      <c r="G22" s="180">
        <f t="shared" si="7"/>
        <v>1330</v>
      </c>
      <c r="H22" s="184">
        <f t="shared" si="7"/>
        <v>1383.1999999999998</v>
      </c>
      <c r="I22" s="40">
        <f t="shared" si="7"/>
        <v>1438.5279999999993</v>
      </c>
      <c r="J22" s="40">
        <f t="shared" si="7"/>
        <v>1496.0691199999997</v>
      </c>
      <c r="K22" s="40">
        <f t="shared" si="7"/>
        <v>1555.9118847999998</v>
      </c>
      <c r="L22" s="40">
        <f t="shared" si="7"/>
        <v>1618.1483601919995</v>
      </c>
      <c r="M22" s="40">
        <f t="shared" si="7"/>
        <v>1682.8742945996805</v>
      </c>
      <c r="N22" s="40">
        <f t="shared" si="7"/>
        <v>1750.189266383668</v>
      </c>
      <c r="O22" s="40">
        <f t="shared" si="7"/>
        <v>1820.1968370390136</v>
      </c>
      <c r="P22" s="40">
        <f t="shared" si="7"/>
        <v>1893.004710520575</v>
      </c>
      <c r="Q22" s="40">
        <f t="shared" si="7"/>
        <v>1968.724898941397</v>
      </c>
    </row>
    <row r="23" spans="1:23" s="45" customFormat="1" ht="12" customHeight="1">
      <c r="A23" s="48">
        <v>14</v>
      </c>
      <c r="B23" s="50"/>
      <c r="C23" s="116" t="s">
        <v>36</v>
      </c>
      <c r="D23" s="181">
        <f>D19+D20+D21+D22</f>
        <v>2000</v>
      </c>
      <c r="E23" s="181">
        <f aca="true" t="shared" si="8" ref="E23:Q23">E19+E20+E21+E22</f>
        <v>2030</v>
      </c>
      <c r="F23" s="181">
        <f t="shared" si="8"/>
        <v>2365</v>
      </c>
      <c r="G23" s="182">
        <f t="shared" si="8"/>
        <v>2430</v>
      </c>
      <c r="H23" s="181">
        <f t="shared" si="8"/>
        <v>2527.2</v>
      </c>
      <c r="I23" s="157">
        <f t="shared" si="8"/>
        <v>2628.2879999999996</v>
      </c>
      <c r="J23" s="117">
        <f t="shared" si="8"/>
        <v>2733.4195199999995</v>
      </c>
      <c r="K23" s="117">
        <f t="shared" si="8"/>
        <v>2842.7563007999997</v>
      </c>
      <c r="L23" s="117">
        <f t="shared" si="8"/>
        <v>2956.4665528319997</v>
      </c>
      <c r="M23" s="134">
        <f t="shared" si="8"/>
        <v>3074.7252149452806</v>
      </c>
      <c r="N23" s="117">
        <f t="shared" si="8"/>
        <v>3197.7142235430924</v>
      </c>
      <c r="O23" s="117">
        <f t="shared" si="8"/>
        <v>3325.6227924848154</v>
      </c>
      <c r="P23" s="117">
        <f t="shared" si="8"/>
        <v>3458.6477041842086</v>
      </c>
      <c r="Q23" s="117">
        <f t="shared" si="8"/>
        <v>3596.9936123515763</v>
      </c>
      <c r="R23" s="72"/>
      <c r="S23" s="72"/>
      <c r="T23" s="72"/>
      <c r="U23" s="72"/>
      <c r="V23" s="72"/>
      <c r="W23" s="72"/>
    </row>
    <row r="24" spans="1:17" ht="12" customHeight="1">
      <c r="A24" s="17"/>
      <c r="B24" s="23"/>
      <c r="C24" s="14"/>
      <c r="D24" s="56"/>
      <c r="E24" s="56"/>
      <c r="F24" s="56"/>
      <c r="G24" s="152"/>
      <c r="H24" s="20"/>
      <c r="I24" s="56"/>
      <c r="J24" s="56"/>
      <c r="K24" s="56"/>
      <c r="L24" s="20"/>
      <c r="M24" s="36"/>
      <c r="N24" s="20"/>
      <c r="O24" s="20"/>
      <c r="P24" s="78"/>
      <c r="Q24" s="20"/>
    </row>
    <row r="25" spans="1:17" ht="12" customHeight="1" hidden="1">
      <c r="A25" s="17">
        <v>15</v>
      </c>
      <c r="B25" s="25"/>
      <c r="C25" s="10" t="s">
        <v>23</v>
      </c>
      <c r="D25" s="26">
        <f aca="true" t="shared" si="9" ref="D25:Q25">D10+D11+D12-D19-D20</f>
        <v>400</v>
      </c>
      <c r="E25" s="26">
        <f t="shared" si="9"/>
        <v>430</v>
      </c>
      <c r="F25" s="26">
        <f t="shared" si="9"/>
        <v>515</v>
      </c>
      <c r="G25" s="135">
        <f t="shared" si="9"/>
        <v>550</v>
      </c>
      <c r="H25" s="158">
        <f t="shared" si="9"/>
        <v>572</v>
      </c>
      <c r="I25" s="26">
        <f t="shared" si="9"/>
        <v>594.88</v>
      </c>
      <c r="J25" s="26">
        <f t="shared" si="9"/>
        <v>618.6752</v>
      </c>
      <c r="K25" s="26">
        <f t="shared" si="9"/>
        <v>643.4222080000001</v>
      </c>
      <c r="L25" s="26">
        <f t="shared" si="9"/>
        <v>669.1590963200001</v>
      </c>
      <c r="M25" s="135">
        <f t="shared" si="9"/>
        <v>695.9254601728002</v>
      </c>
      <c r="N25" s="26">
        <f t="shared" si="9"/>
        <v>723.7624785797123</v>
      </c>
      <c r="O25" s="26">
        <f t="shared" si="9"/>
        <v>752.7129777229007</v>
      </c>
      <c r="P25" s="26">
        <f t="shared" si="9"/>
        <v>782.8214968318168</v>
      </c>
      <c r="Q25" s="26">
        <f t="shared" si="9"/>
        <v>814.1343567050895</v>
      </c>
    </row>
    <row r="26" spans="1:17" ht="12" customHeight="1" hidden="1">
      <c r="A26" s="17"/>
      <c r="B26" s="23"/>
      <c r="C26" s="14"/>
      <c r="D26" s="56"/>
      <c r="E26" s="56"/>
      <c r="F26" s="56"/>
      <c r="G26" s="152"/>
      <c r="H26" s="20"/>
      <c r="I26" s="43"/>
      <c r="J26" s="43"/>
      <c r="K26" s="43"/>
      <c r="L26" s="43"/>
      <c r="M26" s="35"/>
      <c r="N26" s="43"/>
      <c r="O26" s="43"/>
      <c r="P26" s="43"/>
      <c r="Q26" s="43"/>
    </row>
    <row r="27" spans="1:17" ht="12.75" customHeight="1">
      <c r="A27" s="17"/>
      <c r="B27"/>
      <c r="C27" s="9" t="s">
        <v>37</v>
      </c>
      <c r="D27" s="56"/>
      <c r="E27" s="56"/>
      <c r="F27" s="56"/>
      <c r="G27" s="152"/>
      <c r="H27" s="20"/>
      <c r="I27" s="23"/>
      <c r="J27" s="23"/>
      <c r="K27" s="23"/>
      <c r="L27" s="23"/>
      <c r="M27" s="27"/>
      <c r="N27" s="23"/>
      <c r="O27" s="23"/>
      <c r="P27" s="23"/>
      <c r="Q27" s="23"/>
    </row>
    <row r="28" spans="1:17" ht="12.75" customHeight="1" hidden="1" thickBot="1">
      <c r="A28" s="17"/>
      <c r="B28" s="9"/>
      <c r="C28" s="14" t="s">
        <v>38</v>
      </c>
      <c r="D28" s="159">
        <v>0</v>
      </c>
      <c r="E28" s="30">
        <f>E29*(1+$D$28)</f>
        <v>2400</v>
      </c>
      <c r="F28" s="30">
        <f aca="true" t="shared" si="10" ref="F28:Q28">F29*(1+$D$28)</f>
        <v>3000</v>
      </c>
      <c r="G28" s="137">
        <f t="shared" si="10"/>
        <v>3400</v>
      </c>
      <c r="H28" s="51">
        <f t="shared" si="10"/>
        <v>3536</v>
      </c>
      <c r="I28" s="122">
        <f t="shared" si="10"/>
        <v>3677.44</v>
      </c>
      <c r="J28" s="122">
        <f t="shared" si="10"/>
        <v>3824.5376</v>
      </c>
      <c r="K28" s="122">
        <f t="shared" si="10"/>
        <v>3977.5191040000004</v>
      </c>
      <c r="L28" s="122">
        <f t="shared" si="10"/>
        <v>4136.619868160001</v>
      </c>
      <c r="M28" s="136">
        <f t="shared" si="10"/>
        <v>4302.084662886401</v>
      </c>
      <c r="N28" s="122">
        <f t="shared" si="10"/>
        <v>4474.168049401857</v>
      </c>
      <c r="O28" s="122">
        <f t="shared" si="10"/>
        <v>4653.134771377931</v>
      </c>
      <c r="P28" s="122">
        <f t="shared" si="10"/>
        <v>4839.2601622330485</v>
      </c>
      <c r="Q28" s="122">
        <f t="shared" si="10"/>
        <v>5032.830568722371</v>
      </c>
    </row>
    <row r="29" spans="1:17" ht="12.75" customHeight="1">
      <c r="A29" s="17">
        <v>16</v>
      </c>
      <c r="B29" s="23"/>
      <c r="C29" s="15" t="s">
        <v>39</v>
      </c>
      <c r="D29" s="30"/>
      <c r="E29" s="176">
        <v>2400</v>
      </c>
      <c r="F29" s="176">
        <v>3000</v>
      </c>
      <c r="G29" s="31">
        <v>3400</v>
      </c>
      <c r="H29" s="3">
        <f aca="true" t="shared" si="11" ref="H29:M29">G29*(1+$O$8)</f>
        <v>3536</v>
      </c>
      <c r="I29" s="3">
        <f t="shared" si="11"/>
        <v>3677.44</v>
      </c>
      <c r="J29" s="3">
        <f t="shared" si="11"/>
        <v>3824.5376</v>
      </c>
      <c r="K29" s="3">
        <f t="shared" si="11"/>
        <v>3977.5191040000004</v>
      </c>
      <c r="L29" s="3">
        <f t="shared" si="11"/>
        <v>4136.619868160001</v>
      </c>
      <c r="M29" s="3">
        <f t="shared" si="11"/>
        <v>4302.084662886401</v>
      </c>
      <c r="N29" s="3">
        <f>M29*(1+$O$8)</f>
        <v>4474.168049401857</v>
      </c>
      <c r="O29" s="3">
        <f>N29*(1+$O$8)</f>
        <v>4653.134771377931</v>
      </c>
      <c r="P29" s="3">
        <f>O29*(1+$O$8)</f>
        <v>4839.2601622330485</v>
      </c>
      <c r="Q29" s="3">
        <f>P29*(1+$O$8)</f>
        <v>5032.830568722371</v>
      </c>
    </row>
    <row r="30" spans="1:17" ht="12" customHeight="1">
      <c r="A30" s="17">
        <v>17</v>
      </c>
      <c r="B30" s="23"/>
      <c r="C30" s="15" t="s">
        <v>21</v>
      </c>
      <c r="D30" s="30"/>
      <c r="E30" s="179">
        <f>E28*0.5</f>
        <v>1200</v>
      </c>
      <c r="F30" s="179">
        <f aca="true" t="shared" si="12" ref="F30:Q30">F28*0.5</f>
        <v>1500</v>
      </c>
      <c r="G30" s="188">
        <f t="shared" si="12"/>
        <v>1700</v>
      </c>
      <c r="H30" s="51">
        <f t="shared" si="12"/>
        <v>1768</v>
      </c>
      <c r="I30" s="30">
        <f t="shared" si="12"/>
        <v>1838.72</v>
      </c>
      <c r="J30" s="30">
        <f t="shared" si="12"/>
        <v>1912.2688</v>
      </c>
      <c r="K30" s="30">
        <f t="shared" si="12"/>
        <v>1988.7595520000002</v>
      </c>
      <c r="L30" s="30">
        <f t="shared" si="12"/>
        <v>2068.3099340800004</v>
      </c>
      <c r="M30" s="30">
        <f t="shared" si="12"/>
        <v>2151.0423314432005</v>
      </c>
      <c r="N30" s="30">
        <f t="shared" si="12"/>
        <v>2237.0840247009287</v>
      </c>
      <c r="O30" s="30">
        <f t="shared" si="12"/>
        <v>2326.5673856889657</v>
      </c>
      <c r="P30" s="30">
        <f t="shared" si="12"/>
        <v>2419.6300811165243</v>
      </c>
      <c r="Q30" s="30">
        <f t="shared" si="12"/>
        <v>2516.4152843611855</v>
      </c>
    </row>
    <row r="31" spans="1:17" ht="12" customHeight="1" hidden="1">
      <c r="A31" s="17">
        <v>18</v>
      </c>
      <c r="B31" s="23"/>
      <c r="C31" s="15" t="s">
        <v>40</v>
      </c>
      <c r="D31" s="30"/>
      <c r="E31" s="179"/>
      <c r="F31" s="179"/>
      <c r="G31" s="188"/>
      <c r="H31" s="51"/>
      <c r="I31" s="51"/>
      <c r="J31" s="51"/>
      <c r="K31" s="51"/>
      <c r="L31" s="51"/>
      <c r="M31" s="51"/>
      <c r="N31" s="51"/>
      <c r="O31" s="51"/>
      <c r="P31" s="51"/>
      <c r="Q31" s="22"/>
    </row>
    <row r="32" spans="1:17" ht="12" customHeight="1">
      <c r="A32" s="17">
        <v>19</v>
      </c>
      <c r="B32" s="23"/>
      <c r="C32" s="15" t="s">
        <v>41</v>
      </c>
      <c r="D32" s="30"/>
      <c r="E32" s="179">
        <v>1100</v>
      </c>
      <c r="F32" s="179">
        <f>0.25*F29</f>
        <v>750</v>
      </c>
      <c r="G32" s="188">
        <v>858</v>
      </c>
      <c r="H32" s="51">
        <f aca="true" t="shared" si="13" ref="H32:M32">0.25*H29</f>
        <v>884</v>
      </c>
      <c r="I32" s="51">
        <f t="shared" si="13"/>
        <v>919.36</v>
      </c>
      <c r="J32" s="51">
        <f t="shared" si="13"/>
        <v>956.1344</v>
      </c>
      <c r="K32" s="51">
        <f t="shared" si="13"/>
        <v>994.3797760000001</v>
      </c>
      <c r="L32" s="51">
        <f t="shared" si="13"/>
        <v>1034.1549670400002</v>
      </c>
      <c r="M32" s="51">
        <f t="shared" si="13"/>
        <v>1075.5211657216003</v>
      </c>
      <c r="N32" s="51">
        <f>0.25*N29</f>
        <v>1118.5420123504643</v>
      </c>
      <c r="O32" s="51">
        <f>0.25*O29</f>
        <v>1163.2836928444829</v>
      </c>
      <c r="P32" s="51">
        <f>0.25*P29</f>
        <v>1209.8150405582621</v>
      </c>
      <c r="Q32" s="22">
        <f>0.25*Q29</f>
        <v>1258.2076421805928</v>
      </c>
    </row>
    <row r="33" spans="1:17" ht="12" customHeight="1">
      <c r="A33" s="17">
        <v>20</v>
      </c>
      <c r="B33" s="23"/>
      <c r="C33" s="15" t="s">
        <v>42</v>
      </c>
      <c r="D33" s="30"/>
      <c r="E33" s="176">
        <v>200</v>
      </c>
      <c r="F33" s="176">
        <v>250</v>
      </c>
      <c r="G33" s="31">
        <v>270</v>
      </c>
      <c r="H33" s="3">
        <f aca="true" t="shared" si="14" ref="H33:M33">G33*(1+$O$8)</f>
        <v>280.8</v>
      </c>
      <c r="I33" s="2">
        <f t="shared" si="14"/>
        <v>292.03200000000004</v>
      </c>
      <c r="J33" s="2">
        <f t="shared" si="14"/>
        <v>303.71328000000005</v>
      </c>
      <c r="K33" s="2">
        <f t="shared" si="14"/>
        <v>315.8618112000001</v>
      </c>
      <c r="L33" s="2">
        <f t="shared" si="14"/>
        <v>328.4962836480001</v>
      </c>
      <c r="M33" s="2">
        <f t="shared" si="14"/>
        <v>341.6361349939201</v>
      </c>
      <c r="N33" s="2">
        <f>M33*(1+$O$8)</f>
        <v>355.30158039367694</v>
      </c>
      <c r="O33" s="2">
        <f>N33*(1+$O$8)</f>
        <v>369.51364360942404</v>
      </c>
      <c r="P33" s="2">
        <f>O33*(1+$O$8)</f>
        <v>384.294189353801</v>
      </c>
      <c r="Q33" s="2">
        <f>P33*(1+$O$8)</f>
        <v>399.66595692795306</v>
      </c>
    </row>
    <row r="34" spans="1:17" ht="12" customHeight="1">
      <c r="A34" s="17">
        <v>21</v>
      </c>
      <c r="C34" s="4" t="s">
        <v>43</v>
      </c>
      <c r="D34" s="5"/>
      <c r="E34" s="176">
        <f>E28-E30-E31-E32-E33</f>
        <v>-100</v>
      </c>
      <c r="F34" s="176">
        <f aca="true" t="shared" si="15" ref="F34:Q34">F28-F30-F31-F32-F33</f>
        <v>500</v>
      </c>
      <c r="G34" s="31">
        <f t="shared" si="15"/>
        <v>572</v>
      </c>
      <c r="H34" s="1">
        <f t="shared" si="15"/>
        <v>603.2</v>
      </c>
      <c r="I34" s="5">
        <f t="shared" si="15"/>
        <v>627.328</v>
      </c>
      <c r="J34" s="5">
        <f t="shared" si="15"/>
        <v>652.42112</v>
      </c>
      <c r="K34" s="5">
        <f t="shared" si="15"/>
        <v>678.5179648000001</v>
      </c>
      <c r="L34" s="5">
        <f t="shared" si="15"/>
        <v>705.6586833920001</v>
      </c>
      <c r="M34" s="5">
        <f t="shared" si="15"/>
        <v>733.8850307276801</v>
      </c>
      <c r="N34" s="5">
        <f t="shared" si="15"/>
        <v>763.2404319567875</v>
      </c>
      <c r="O34" s="5">
        <f t="shared" si="15"/>
        <v>793.7700492350589</v>
      </c>
      <c r="P34" s="5">
        <f t="shared" si="15"/>
        <v>825.5208512044611</v>
      </c>
      <c r="Q34" s="5">
        <f t="shared" si="15"/>
        <v>858.5416852526397</v>
      </c>
    </row>
    <row r="35" spans="1:17" ht="12" customHeight="1">
      <c r="A35" s="17">
        <v>22</v>
      </c>
      <c r="C35" s="4" t="s">
        <v>44</v>
      </c>
      <c r="D35" s="5"/>
      <c r="E35" s="176">
        <f>D71*D76</f>
        <v>120</v>
      </c>
      <c r="F35" s="176">
        <f>E71*E76</f>
        <v>150</v>
      </c>
      <c r="G35" s="31">
        <f aca="true" t="shared" si="16" ref="G35:M35">F71*F76</f>
        <v>153.66</v>
      </c>
      <c r="H35" s="1">
        <f t="shared" si="16"/>
        <v>132</v>
      </c>
      <c r="I35" s="5">
        <f t="shared" si="16"/>
        <v>137.28</v>
      </c>
      <c r="J35" s="5">
        <f t="shared" si="16"/>
        <v>142.7712</v>
      </c>
      <c r="K35" s="5">
        <f t="shared" si="16"/>
        <v>148.482048</v>
      </c>
      <c r="L35" s="5">
        <f t="shared" si="16"/>
        <v>154.42132992</v>
      </c>
      <c r="M35" s="5">
        <f t="shared" si="16"/>
        <v>160.59818311680002</v>
      </c>
      <c r="N35" s="5">
        <f>M71*M76</f>
        <v>167.02211044147202</v>
      </c>
      <c r="O35" s="5">
        <f>N71*N76</f>
        <v>173.70299485913094</v>
      </c>
      <c r="P35" s="5">
        <f>O71*O76</f>
        <v>180.65111465349617</v>
      </c>
      <c r="Q35" s="5">
        <f>P71*P76</f>
        <v>187.87715923963603</v>
      </c>
    </row>
    <row r="36" spans="1:17" ht="12" customHeight="1" hidden="1">
      <c r="A36" s="17">
        <v>23</v>
      </c>
      <c r="C36" s="4" t="s">
        <v>45</v>
      </c>
      <c r="D36" s="5"/>
      <c r="E36" s="176"/>
      <c r="F36" s="176"/>
      <c r="G36" s="31"/>
      <c r="H36" s="1"/>
      <c r="I36" s="5"/>
      <c r="J36" s="5"/>
      <c r="K36" s="5"/>
      <c r="L36" s="5"/>
      <c r="M36" s="5"/>
      <c r="N36" s="5"/>
      <c r="O36" s="5"/>
      <c r="P36" s="5"/>
      <c r="Q36" s="5"/>
    </row>
    <row r="37" spans="1:17" ht="12" customHeight="1">
      <c r="A37" s="17">
        <v>24</v>
      </c>
      <c r="C37" s="4" t="s">
        <v>46</v>
      </c>
      <c r="D37" s="5"/>
      <c r="E37" s="176">
        <f>E34-E35+E36</f>
        <v>-220</v>
      </c>
      <c r="F37" s="176">
        <f aca="true" t="shared" si="17" ref="F37:Q37">F34-F35+F36</f>
        <v>350</v>
      </c>
      <c r="G37" s="31">
        <f t="shared" si="17"/>
        <v>418.34000000000003</v>
      </c>
      <c r="H37" s="1">
        <f t="shared" si="17"/>
        <v>471.20000000000005</v>
      </c>
      <c r="I37" s="5">
        <f t="shared" si="17"/>
        <v>490.048</v>
      </c>
      <c r="J37" s="5">
        <f t="shared" si="17"/>
        <v>509.64991999999995</v>
      </c>
      <c r="K37" s="5">
        <f t="shared" si="17"/>
        <v>530.0359168000001</v>
      </c>
      <c r="L37" s="5">
        <f t="shared" si="17"/>
        <v>551.237353472</v>
      </c>
      <c r="M37" s="5">
        <f t="shared" si="17"/>
        <v>573.2868476108802</v>
      </c>
      <c r="N37" s="5">
        <f t="shared" si="17"/>
        <v>596.2183215153154</v>
      </c>
      <c r="O37" s="5">
        <f t="shared" si="17"/>
        <v>620.0670543759279</v>
      </c>
      <c r="P37" s="5">
        <f t="shared" si="17"/>
        <v>644.869736550965</v>
      </c>
      <c r="Q37" s="5">
        <f t="shared" si="17"/>
        <v>670.6645260130036</v>
      </c>
    </row>
    <row r="38" spans="1:17" ht="12.75" customHeight="1">
      <c r="A38" s="17">
        <v>25</v>
      </c>
      <c r="B38"/>
      <c r="C38" s="4" t="s">
        <v>47</v>
      </c>
      <c r="D38" s="5"/>
      <c r="E38" s="176">
        <v>0</v>
      </c>
      <c r="F38" s="176">
        <f>$F1*(F37+E37)</f>
        <v>45.5</v>
      </c>
      <c r="G38" s="31">
        <f aca="true" t="shared" si="18" ref="G38:Q38">$F1*G37</f>
        <v>146.419</v>
      </c>
      <c r="H38" s="3">
        <f t="shared" si="18"/>
        <v>164.92000000000002</v>
      </c>
      <c r="I38" s="3">
        <f t="shared" si="18"/>
        <v>171.5168</v>
      </c>
      <c r="J38" s="3">
        <f t="shared" si="18"/>
        <v>178.37747199999998</v>
      </c>
      <c r="K38" s="3">
        <f t="shared" si="18"/>
        <v>185.51257088000003</v>
      </c>
      <c r="L38" s="3">
        <f t="shared" si="18"/>
        <v>192.93307371519998</v>
      </c>
      <c r="M38" s="3">
        <f t="shared" si="18"/>
        <v>200.65039666380804</v>
      </c>
      <c r="N38" s="3">
        <f t="shared" si="18"/>
        <v>208.67641253036038</v>
      </c>
      <c r="O38" s="3">
        <f t="shared" si="18"/>
        <v>217.02346903157476</v>
      </c>
      <c r="P38" s="3">
        <f t="shared" si="18"/>
        <v>225.7044077928377</v>
      </c>
      <c r="Q38" s="3">
        <f t="shared" si="18"/>
        <v>234.73258410455125</v>
      </c>
    </row>
    <row r="39" spans="1:23" s="80" customFormat="1" ht="12.75" customHeight="1" thickBot="1">
      <c r="A39" s="67">
        <v>26</v>
      </c>
      <c r="C39" s="80" t="s">
        <v>48</v>
      </c>
      <c r="D39" s="81"/>
      <c r="E39" s="82">
        <f aca="true" t="shared" si="19" ref="E39:N39">E37-E38</f>
        <v>-220</v>
      </c>
      <c r="F39" s="82">
        <f t="shared" si="19"/>
        <v>304.5</v>
      </c>
      <c r="G39" s="115">
        <f t="shared" si="19"/>
        <v>271.92100000000005</v>
      </c>
      <c r="H39" s="114">
        <f t="shared" si="19"/>
        <v>306.28000000000003</v>
      </c>
      <c r="I39" s="114">
        <f t="shared" si="19"/>
        <v>318.5312</v>
      </c>
      <c r="J39" s="114">
        <f t="shared" si="19"/>
        <v>331.27244799999994</v>
      </c>
      <c r="K39" s="114">
        <f t="shared" si="19"/>
        <v>344.5233459200001</v>
      </c>
      <c r="L39" s="114">
        <f t="shared" si="19"/>
        <v>358.30427975680004</v>
      </c>
      <c r="M39" s="115">
        <f t="shared" si="19"/>
        <v>372.63645094707215</v>
      </c>
      <c r="N39" s="114">
        <f t="shared" si="19"/>
        <v>387.54190898495506</v>
      </c>
      <c r="O39" s="114">
        <f>O37-O38</f>
        <v>403.0435853443531</v>
      </c>
      <c r="P39" s="114">
        <f>P37-P38</f>
        <v>419.1653287581272</v>
      </c>
      <c r="Q39" s="114">
        <f>Q37-Q38</f>
        <v>435.93194190845236</v>
      </c>
      <c r="R39" s="59"/>
      <c r="S39" s="59"/>
      <c r="T39" s="59"/>
      <c r="U39" s="59"/>
      <c r="V39" s="59"/>
      <c r="W39" s="59"/>
    </row>
    <row r="40" spans="1:17" s="161" customFormat="1" ht="12.75" customHeight="1" thickBot="1">
      <c r="A40" s="169"/>
      <c r="C40" s="172" t="s">
        <v>19</v>
      </c>
      <c r="D40" s="172"/>
      <c r="E40" s="173">
        <f>E38/E37</f>
        <v>0</v>
      </c>
      <c r="F40" s="174">
        <f>F38/F37</f>
        <v>0.13</v>
      </c>
      <c r="G40" s="175">
        <f>G38/G37</f>
        <v>0.35</v>
      </c>
      <c r="H40" s="174">
        <f>H38/H37</f>
        <v>0.35</v>
      </c>
      <c r="I40" s="174">
        <f>I38/I37</f>
        <v>0.35</v>
      </c>
      <c r="J40" s="170"/>
      <c r="K40" s="170"/>
      <c r="L40" s="170"/>
      <c r="M40" s="171"/>
      <c r="N40" s="170"/>
      <c r="O40" s="170"/>
      <c r="P40" s="170"/>
      <c r="Q40" s="170"/>
    </row>
    <row r="41" spans="1:17" s="59" customFormat="1" ht="12.75" customHeight="1">
      <c r="A41" s="58"/>
      <c r="F41" s="118"/>
      <c r="G41" s="119"/>
      <c r="H41" s="118"/>
      <c r="I41" s="118"/>
      <c r="J41" s="118"/>
      <c r="K41" s="118"/>
      <c r="L41" s="118"/>
      <c r="M41" s="119"/>
      <c r="N41" s="118"/>
      <c r="O41" s="118"/>
      <c r="P41" s="118"/>
      <c r="Q41" s="118"/>
    </row>
    <row r="42" spans="1:17" ht="12" customHeight="1" thickBot="1">
      <c r="A42" s="17"/>
      <c r="B42"/>
      <c r="C42" s="94" t="s">
        <v>20</v>
      </c>
      <c r="D42" s="59"/>
      <c r="E42" s="69">
        <v>1</v>
      </c>
      <c r="F42" s="69">
        <f aca="true" t="shared" si="20" ref="F42:Q42">E42+1</f>
        <v>2</v>
      </c>
      <c r="G42" s="160">
        <f t="shared" si="20"/>
        <v>3</v>
      </c>
      <c r="H42" s="69">
        <f t="shared" si="20"/>
        <v>4</v>
      </c>
      <c r="I42" s="69">
        <f t="shared" si="20"/>
        <v>5</v>
      </c>
      <c r="J42" s="106">
        <f t="shared" si="20"/>
        <v>6</v>
      </c>
      <c r="K42" s="106">
        <f t="shared" si="20"/>
        <v>7</v>
      </c>
      <c r="L42" s="106">
        <f t="shared" si="20"/>
        <v>8</v>
      </c>
      <c r="M42" s="112">
        <f t="shared" si="20"/>
        <v>9</v>
      </c>
      <c r="N42" s="106">
        <f t="shared" si="20"/>
        <v>10</v>
      </c>
      <c r="O42" s="106">
        <f t="shared" si="20"/>
        <v>11</v>
      </c>
      <c r="P42" s="106">
        <f t="shared" si="20"/>
        <v>12</v>
      </c>
      <c r="Q42" s="106">
        <f t="shared" si="20"/>
        <v>13</v>
      </c>
    </row>
    <row r="43" spans="1:23" s="120" customFormat="1" ht="12" customHeight="1" thickBot="1">
      <c r="A43" s="67"/>
      <c r="C43" s="80" t="s">
        <v>48</v>
      </c>
      <c r="D43" s="69"/>
      <c r="E43" s="185">
        <f aca="true" t="shared" si="21" ref="E43:Q43">E39</f>
        <v>-220</v>
      </c>
      <c r="F43" s="185">
        <f t="shared" si="21"/>
        <v>304.5</v>
      </c>
      <c r="G43" s="138">
        <f t="shared" si="21"/>
        <v>271.92100000000005</v>
      </c>
      <c r="H43" s="111">
        <f t="shared" si="21"/>
        <v>306.28000000000003</v>
      </c>
      <c r="I43" s="111">
        <f t="shared" si="21"/>
        <v>318.5312</v>
      </c>
      <c r="J43" s="111">
        <f t="shared" si="21"/>
        <v>331.27244799999994</v>
      </c>
      <c r="K43" s="111">
        <f t="shared" si="21"/>
        <v>344.5233459200001</v>
      </c>
      <c r="L43" s="111">
        <f t="shared" si="21"/>
        <v>358.30427975680004</v>
      </c>
      <c r="M43" s="138">
        <f t="shared" si="21"/>
        <v>372.63645094707215</v>
      </c>
      <c r="N43" s="111">
        <f t="shared" si="21"/>
        <v>387.54190898495506</v>
      </c>
      <c r="O43" s="111">
        <f t="shared" si="21"/>
        <v>403.0435853443531</v>
      </c>
      <c r="P43" s="111">
        <f t="shared" si="21"/>
        <v>419.1653287581272</v>
      </c>
      <c r="Q43" s="111">
        <f t="shared" si="21"/>
        <v>435.93194190845236</v>
      </c>
      <c r="R43" s="107"/>
      <c r="S43" s="107"/>
      <c r="T43" s="107"/>
      <c r="U43" s="107"/>
      <c r="V43" s="107"/>
      <c r="W43" s="107"/>
    </row>
    <row r="44" spans="1:17" ht="12.75" customHeight="1">
      <c r="A44" s="17">
        <v>27</v>
      </c>
      <c r="C44" s="4" t="s">
        <v>49</v>
      </c>
      <c r="E44" s="186">
        <f aca="true" t="shared" si="22" ref="E44:Q44">E33</f>
        <v>200</v>
      </c>
      <c r="F44" s="186">
        <f t="shared" si="22"/>
        <v>250</v>
      </c>
      <c r="G44" s="153">
        <f t="shared" si="22"/>
        <v>270</v>
      </c>
      <c r="H44" s="1">
        <f t="shared" si="22"/>
        <v>280.8</v>
      </c>
      <c r="I44" s="1">
        <f t="shared" si="22"/>
        <v>292.03200000000004</v>
      </c>
      <c r="J44" s="3">
        <f t="shared" si="22"/>
        <v>303.71328000000005</v>
      </c>
      <c r="K44" s="3">
        <f t="shared" si="22"/>
        <v>315.8618112000001</v>
      </c>
      <c r="L44" s="3">
        <f t="shared" si="22"/>
        <v>328.4962836480001</v>
      </c>
      <c r="M44" s="38">
        <f t="shared" si="22"/>
        <v>341.6361349939201</v>
      </c>
      <c r="N44" s="3">
        <f t="shared" si="22"/>
        <v>355.30158039367694</v>
      </c>
      <c r="O44" s="3">
        <f t="shared" si="22"/>
        <v>369.51364360942404</v>
      </c>
      <c r="P44" s="3">
        <f t="shared" si="22"/>
        <v>384.294189353801</v>
      </c>
      <c r="Q44" s="3">
        <f t="shared" si="22"/>
        <v>399.66595692795306</v>
      </c>
    </row>
    <row r="45" spans="1:17" ht="12" customHeight="1">
      <c r="A45" s="17">
        <v>28</v>
      </c>
      <c r="C45" s="4" t="s">
        <v>50</v>
      </c>
      <c r="E45" s="186">
        <f aca="true" t="shared" si="23" ref="E45:N45">E71-D71</f>
        <v>250</v>
      </c>
      <c r="F45" s="186">
        <f t="shared" si="23"/>
        <v>30.5</v>
      </c>
      <c r="G45" s="153">
        <f t="shared" si="23"/>
        <v>-180.5</v>
      </c>
      <c r="H45" s="1">
        <f t="shared" si="23"/>
        <v>44</v>
      </c>
      <c r="I45" s="1">
        <f t="shared" si="23"/>
        <v>45.75999999999999</v>
      </c>
      <c r="J45" s="3">
        <f t="shared" si="23"/>
        <v>47.590400000000045</v>
      </c>
      <c r="K45" s="3">
        <f t="shared" si="23"/>
        <v>49.4940160000001</v>
      </c>
      <c r="L45" s="3">
        <f t="shared" si="23"/>
        <v>51.4737766400001</v>
      </c>
      <c r="M45" s="38">
        <f t="shared" si="23"/>
        <v>53.53272770560011</v>
      </c>
      <c r="N45" s="3">
        <f t="shared" si="23"/>
        <v>55.67403681382416</v>
      </c>
      <c r="O45" s="3">
        <f>O71-N71</f>
        <v>57.90099828637699</v>
      </c>
      <c r="P45" s="3">
        <f>P71-O71</f>
        <v>60.21703821783217</v>
      </c>
      <c r="Q45" s="3">
        <f>Q71-P71</f>
        <v>62.62571974654543</v>
      </c>
    </row>
    <row r="46" spans="1:17" ht="12" customHeight="1">
      <c r="A46" s="17">
        <v>29</v>
      </c>
      <c r="C46" s="4" t="s">
        <v>51</v>
      </c>
      <c r="E46" s="186">
        <f aca="true" t="shared" si="24" ref="E46:N46">D25-E25</f>
        <v>-30</v>
      </c>
      <c r="F46" s="186">
        <f t="shared" si="24"/>
        <v>-85</v>
      </c>
      <c r="G46" s="153">
        <f t="shared" si="24"/>
        <v>-35</v>
      </c>
      <c r="H46" s="4">
        <f t="shared" si="24"/>
        <v>-22</v>
      </c>
      <c r="I46" s="4">
        <f t="shared" si="24"/>
        <v>-22.879999999999995</v>
      </c>
      <c r="J46" s="4">
        <f t="shared" si="24"/>
        <v>-23.795200000000023</v>
      </c>
      <c r="K46" s="4">
        <f t="shared" si="24"/>
        <v>-24.74700800000005</v>
      </c>
      <c r="L46" s="4">
        <f t="shared" si="24"/>
        <v>-25.73688832000005</v>
      </c>
      <c r="M46" s="34">
        <f t="shared" si="24"/>
        <v>-26.766363852800055</v>
      </c>
      <c r="N46" s="1">
        <f t="shared" si="24"/>
        <v>-27.83701840691208</v>
      </c>
      <c r="O46" s="1">
        <f>N25-O25</f>
        <v>-28.950499143188495</v>
      </c>
      <c r="P46" s="1">
        <f>O25-P25</f>
        <v>-30.108519108916084</v>
      </c>
      <c r="Q46" s="4">
        <f>P25-Q25</f>
        <v>-31.312859873272714</v>
      </c>
    </row>
    <row r="47" spans="1:17" ht="10.5" customHeight="1">
      <c r="A47" s="17">
        <v>30</v>
      </c>
      <c r="C47" s="4" t="s">
        <v>52</v>
      </c>
      <c r="E47" s="186">
        <f aca="true" t="shared" si="25" ref="E47:M47">D14-E14</f>
        <v>-200</v>
      </c>
      <c r="F47" s="186">
        <f t="shared" si="25"/>
        <v>-500</v>
      </c>
      <c r="G47" s="153">
        <f t="shared" si="25"/>
        <v>-300</v>
      </c>
      <c r="H47" s="1">
        <f t="shared" si="25"/>
        <v>-356</v>
      </c>
      <c r="I47" s="1">
        <f t="shared" si="25"/>
        <v>-370.2399999999998</v>
      </c>
      <c r="J47" s="3">
        <f t="shared" si="25"/>
        <v>-385.0496000000003</v>
      </c>
      <c r="K47" s="3">
        <f t="shared" si="25"/>
        <v>-400.45158400000037</v>
      </c>
      <c r="L47" s="3">
        <f t="shared" si="25"/>
        <v>-416.4696473599997</v>
      </c>
      <c r="M47" s="38">
        <f t="shared" si="25"/>
        <v>-433.128433254401</v>
      </c>
      <c r="N47" s="3">
        <f>M14-N14</f>
        <v>-450.4535705845765</v>
      </c>
      <c r="O47" s="3">
        <f>N14-O14</f>
        <v>-468.4717134079583</v>
      </c>
      <c r="P47" s="3">
        <f>O14-P14</f>
        <v>-487.2105819442786</v>
      </c>
      <c r="Q47" s="3">
        <f>P14-Q14</f>
        <v>-506.6990052220481</v>
      </c>
    </row>
    <row r="48" spans="1:17" ht="10.5" customHeight="1" hidden="1">
      <c r="A48" s="17">
        <v>31</v>
      </c>
      <c r="C48" s="4" t="s">
        <v>52</v>
      </c>
      <c r="D48" s="4" t="s">
        <v>53</v>
      </c>
      <c r="E48" s="186"/>
      <c r="F48" s="186"/>
      <c r="G48" s="153"/>
      <c r="H48" s="1"/>
      <c r="I48" s="1"/>
      <c r="J48" s="3"/>
      <c r="K48" s="3"/>
      <c r="L48" s="3"/>
      <c r="M48" s="38"/>
      <c r="N48" s="3"/>
      <c r="O48" s="3"/>
      <c r="P48" s="3"/>
      <c r="Q48" s="3"/>
    </row>
    <row r="49" spans="1:17" ht="10.5" customHeight="1" hidden="1">
      <c r="A49" s="17">
        <v>32</v>
      </c>
      <c r="C49" s="4" t="s">
        <v>54</v>
      </c>
      <c r="E49" s="186"/>
      <c r="F49" s="186"/>
      <c r="G49" s="153"/>
      <c r="H49" s="1"/>
      <c r="I49" s="1"/>
      <c r="J49" s="3"/>
      <c r="K49" s="3"/>
      <c r="L49" s="3"/>
      <c r="M49" s="38"/>
      <c r="N49" s="3"/>
      <c r="O49" s="3"/>
      <c r="P49" s="3"/>
      <c r="Q49" s="3"/>
    </row>
    <row r="50" spans="1:44" ht="10.5" customHeight="1">
      <c r="A50" s="48">
        <v>33</v>
      </c>
      <c r="B50" s="45"/>
      <c r="C50" s="42" t="s">
        <v>55</v>
      </c>
      <c r="D50" s="45"/>
      <c r="E50" s="187">
        <f aca="true" t="shared" si="26" ref="E50:Q50">E39+E44+E47+E45+E46+E49+E48</f>
        <v>0</v>
      </c>
      <c r="F50" s="187">
        <f t="shared" si="26"/>
        <v>0</v>
      </c>
      <c r="G50" s="63">
        <f t="shared" si="26"/>
        <v>26.42100000000005</v>
      </c>
      <c r="H50" s="62">
        <f t="shared" si="26"/>
        <v>253.08000000000004</v>
      </c>
      <c r="I50" s="62">
        <f t="shared" si="26"/>
        <v>263.20320000000027</v>
      </c>
      <c r="J50" s="62">
        <f t="shared" si="26"/>
        <v>273.73132799999973</v>
      </c>
      <c r="K50" s="62">
        <f t="shared" si="26"/>
        <v>284.68058111999994</v>
      </c>
      <c r="L50" s="62">
        <f t="shared" si="26"/>
        <v>296.0678043648005</v>
      </c>
      <c r="M50" s="63">
        <f t="shared" si="26"/>
        <v>307.9105165393913</v>
      </c>
      <c r="N50" s="62">
        <f t="shared" si="26"/>
        <v>320.22693720096765</v>
      </c>
      <c r="O50" s="62">
        <f t="shared" si="26"/>
        <v>333.0360146890074</v>
      </c>
      <c r="P50" s="62">
        <f t="shared" si="26"/>
        <v>346.3574552765657</v>
      </c>
      <c r="Q50" s="62">
        <f t="shared" si="26"/>
        <v>360.21175348763006</v>
      </c>
      <c r="R50" s="72">
        <f aca="true" t="shared" si="27" ref="R50:AR50">Q50*(1+$O$8)</f>
        <v>374.62022362713526</v>
      </c>
      <c r="S50" s="72">
        <f t="shared" si="27"/>
        <v>389.6050325722207</v>
      </c>
      <c r="T50" s="72">
        <f t="shared" si="27"/>
        <v>405.18923387510955</v>
      </c>
      <c r="U50" s="72">
        <f t="shared" si="27"/>
        <v>421.39680323011396</v>
      </c>
      <c r="V50" s="72">
        <f t="shared" si="27"/>
        <v>438.2526753593185</v>
      </c>
      <c r="W50" s="72">
        <f t="shared" si="27"/>
        <v>455.78278237369125</v>
      </c>
      <c r="X50" s="72">
        <f t="shared" si="27"/>
        <v>474.0140936686389</v>
      </c>
      <c r="Y50" s="72">
        <f t="shared" si="27"/>
        <v>492.97465741538446</v>
      </c>
      <c r="Z50" s="72">
        <f t="shared" si="27"/>
        <v>512.6936437119998</v>
      </c>
      <c r="AA50" s="72">
        <f t="shared" si="27"/>
        <v>533.2013894604798</v>
      </c>
      <c r="AB50" s="72">
        <f t="shared" si="27"/>
        <v>554.5294450388991</v>
      </c>
      <c r="AC50" s="72">
        <f t="shared" si="27"/>
        <v>576.7106228404551</v>
      </c>
      <c r="AD50" s="72">
        <f t="shared" si="27"/>
        <v>599.7790477540733</v>
      </c>
      <c r="AE50" s="72">
        <f t="shared" si="27"/>
        <v>623.7702096642363</v>
      </c>
      <c r="AF50" s="72">
        <f t="shared" si="27"/>
        <v>648.7210180508058</v>
      </c>
      <c r="AG50" s="72">
        <f t="shared" si="27"/>
        <v>674.6698587728381</v>
      </c>
      <c r="AH50" s="72">
        <f t="shared" si="27"/>
        <v>701.6566531237517</v>
      </c>
      <c r="AI50" s="72">
        <f t="shared" si="27"/>
        <v>729.7229192487017</v>
      </c>
      <c r="AJ50" s="72">
        <f t="shared" si="27"/>
        <v>758.9118360186499</v>
      </c>
      <c r="AK50" s="72">
        <f t="shared" si="27"/>
        <v>789.2683094593959</v>
      </c>
      <c r="AL50" s="72">
        <f t="shared" si="27"/>
        <v>820.8390418377718</v>
      </c>
      <c r="AM50" s="72">
        <f t="shared" si="27"/>
        <v>853.6726035112827</v>
      </c>
      <c r="AN50" s="72">
        <f t="shared" si="27"/>
        <v>887.8195076517339</v>
      </c>
      <c r="AO50" s="72">
        <f t="shared" si="27"/>
        <v>923.3322879578034</v>
      </c>
      <c r="AP50" s="72">
        <f t="shared" si="27"/>
        <v>960.2655794761156</v>
      </c>
      <c r="AQ50" s="72">
        <f t="shared" si="27"/>
        <v>998.6762026551603</v>
      </c>
      <c r="AR50" s="72">
        <f t="shared" si="27"/>
        <v>1038.6232507613668</v>
      </c>
    </row>
    <row r="51" spans="1:23" s="7" customFormat="1" ht="12" customHeight="1">
      <c r="A51" s="48">
        <v>34</v>
      </c>
      <c r="B51" s="42"/>
      <c r="C51" s="42" t="s">
        <v>56</v>
      </c>
      <c r="D51" s="42"/>
      <c r="E51" s="187">
        <f>E50+E35*(1-E40)-E45</f>
        <v>-130</v>
      </c>
      <c r="F51" s="187">
        <f>F50+F35*(1-F40)-F45</f>
        <v>100</v>
      </c>
      <c r="G51" s="63">
        <f aca="true" t="shared" si="28" ref="G51:Q51">G50+G35*(1-$F1)-G45</f>
        <v>306.80000000000007</v>
      </c>
      <c r="H51" s="62">
        <f t="shared" si="28"/>
        <v>294.88000000000005</v>
      </c>
      <c r="I51" s="62">
        <f t="shared" si="28"/>
        <v>306.67520000000025</v>
      </c>
      <c r="J51" s="62">
        <f t="shared" si="28"/>
        <v>318.9422079999997</v>
      </c>
      <c r="K51" s="62">
        <f t="shared" si="28"/>
        <v>331.6998963199998</v>
      </c>
      <c r="L51" s="62">
        <f t="shared" si="28"/>
        <v>344.9678921728004</v>
      </c>
      <c r="M51" s="63">
        <f t="shared" si="28"/>
        <v>358.76660785971126</v>
      </c>
      <c r="N51" s="62">
        <f t="shared" si="28"/>
        <v>373.1172721741003</v>
      </c>
      <c r="O51" s="62">
        <f t="shared" si="28"/>
        <v>388.04196306106553</v>
      </c>
      <c r="P51" s="62">
        <f t="shared" si="28"/>
        <v>403.56364158350607</v>
      </c>
      <c r="Q51" s="55">
        <f t="shared" si="28"/>
        <v>419.70618724684806</v>
      </c>
      <c r="R51" s="59"/>
      <c r="S51" s="59"/>
      <c r="T51" s="59"/>
      <c r="U51" s="59"/>
      <c r="V51" s="59"/>
      <c r="W51" s="59"/>
    </row>
    <row r="52" spans="1:23" s="42" customFormat="1" ht="12" customHeight="1">
      <c r="A52" s="48">
        <v>35</v>
      </c>
      <c r="C52" s="42" t="s">
        <v>57</v>
      </c>
      <c r="E52" s="187">
        <f aca="true" t="shared" si="29" ref="E52:P52">E35-E45</f>
        <v>-130</v>
      </c>
      <c r="F52" s="187">
        <f t="shared" si="29"/>
        <v>119.5</v>
      </c>
      <c r="G52" s="63">
        <f t="shared" si="29"/>
        <v>334.15999999999997</v>
      </c>
      <c r="H52" s="62">
        <f t="shared" si="29"/>
        <v>88</v>
      </c>
      <c r="I52" s="62">
        <f t="shared" si="29"/>
        <v>91.52000000000001</v>
      </c>
      <c r="J52" s="62">
        <f t="shared" si="29"/>
        <v>95.18079999999995</v>
      </c>
      <c r="K52" s="62">
        <f t="shared" si="29"/>
        <v>98.98803199999989</v>
      </c>
      <c r="L52" s="62">
        <f t="shared" si="29"/>
        <v>102.94755327999991</v>
      </c>
      <c r="M52" s="63">
        <f t="shared" si="29"/>
        <v>107.0654554111999</v>
      </c>
      <c r="N52" s="62">
        <f t="shared" si="29"/>
        <v>111.34807362764786</v>
      </c>
      <c r="O52" s="62">
        <f t="shared" si="29"/>
        <v>115.80199657275395</v>
      </c>
      <c r="P52" s="62">
        <f t="shared" si="29"/>
        <v>120.434076435664</v>
      </c>
      <c r="Q52" s="79">
        <f>Q35-Q45+P52*(1+O$8)*(1+O$8)/(D77-O$8)</f>
        <v>1572.601406968804</v>
      </c>
      <c r="R52" s="59"/>
      <c r="S52" s="59"/>
      <c r="T52" s="59"/>
      <c r="U52" s="59"/>
      <c r="V52" s="59"/>
      <c r="W52" s="59"/>
    </row>
    <row r="53" spans="1:23" s="7" customFormat="1" ht="12" customHeight="1">
      <c r="A53" s="48">
        <v>36</v>
      </c>
      <c r="B53" s="42"/>
      <c r="C53" s="42" t="s">
        <v>58</v>
      </c>
      <c r="D53" s="66"/>
      <c r="E53" s="187">
        <f>E50+E52</f>
        <v>-130</v>
      </c>
      <c r="F53" s="187">
        <f aca="true" t="shared" si="30" ref="F53:P53">F50+F52</f>
        <v>119.5</v>
      </c>
      <c r="G53" s="63">
        <f t="shared" si="30"/>
        <v>360.581</v>
      </c>
      <c r="H53" s="62">
        <f t="shared" si="30"/>
        <v>341.08000000000004</v>
      </c>
      <c r="I53" s="62">
        <f t="shared" si="30"/>
        <v>354.72320000000025</v>
      </c>
      <c r="J53" s="62">
        <f t="shared" si="30"/>
        <v>368.9121279999997</v>
      </c>
      <c r="K53" s="62">
        <f t="shared" si="30"/>
        <v>383.6686131199998</v>
      </c>
      <c r="L53" s="62">
        <f t="shared" si="30"/>
        <v>399.0153576448004</v>
      </c>
      <c r="M53" s="63">
        <f t="shared" si="30"/>
        <v>414.9759719505912</v>
      </c>
      <c r="N53" s="62">
        <f t="shared" si="30"/>
        <v>431.5750108286155</v>
      </c>
      <c r="O53" s="62">
        <f t="shared" si="30"/>
        <v>448.8380112617614</v>
      </c>
      <c r="P53" s="62">
        <f t="shared" si="30"/>
        <v>466.7915317122297</v>
      </c>
      <c r="Q53" s="4">
        <f>P53*(1+$O$8)</f>
        <v>485.46319298071893</v>
      </c>
      <c r="R53" s="59"/>
      <c r="S53" s="59"/>
      <c r="T53" s="59"/>
      <c r="U53" s="59"/>
      <c r="V53" s="59"/>
      <c r="W53" s="59"/>
    </row>
    <row r="54" spans="1:23" s="42" customFormat="1" ht="12" customHeight="1">
      <c r="A54" s="48">
        <v>37</v>
      </c>
      <c r="C54" s="92" t="s">
        <v>59</v>
      </c>
      <c r="D54" s="66"/>
      <c r="E54" s="24">
        <f>E43+E44</f>
        <v>-20</v>
      </c>
      <c r="F54" s="24">
        <f aca="true" t="shared" si="31" ref="F54:Q54">F43+F44</f>
        <v>554.5</v>
      </c>
      <c r="G54" s="105">
        <f t="shared" si="31"/>
        <v>541.921</v>
      </c>
      <c r="H54" s="24">
        <f t="shared" si="31"/>
        <v>587.08</v>
      </c>
      <c r="I54" s="24">
        <f t="shared" si="31"/>
        <v>610.5632</v>
      </c>
      <c r="J54" s="24">
        <f t="shared" si="31"/>
        <v>634.985728</v>
      </c>
      <c r="K54" s="24">
        <f t="shared" si="31"/>
        <v>660.3851571200003</v>
      </c>
      <c r="L54" s="24">
        <f t="shared" si="31"/>
        <v>686.8005634048002</v>
      </c>
      <c r="M54" s="105">
        <f t="shared" si="31"/>
        <v>714.2725859409923</v>
      </c>
      <c r="N54" s="24">
        <f t="shared" si="31"/>
        <v>742.8434893786321</v>
      </c>
      <c r="O54" s="24">
        <f t="shared" si="31"/>
        <v>772.5572289537772</v>
      </c>
      <c r="P54" s="24">
        <f t="shared" si="31"/>
        <v>803.4595181119282</v>
      </c>
      <c r="Q54" s="24">
        <f t="shared" si="31"/>
        <v>835.5978988364054</v>
      </c>
      <c r="R54" s="59"/>
      <c r="S54" s="59"/>
      <c r="T54" s="59"/>
      <c r="U54" s="59"/>
      <c r="V54" s="59"/>
      <c r="W54" s="59"/>
    </row>
    <row r="55" spans="1:23" s="7" customFormat="1" ht="12" customHeight="1">
      <c r="A55" s="58"/>
      <c r="B55" s="59"/>
      <c r="C55" s="59"/>
      <c r="D55" s="96"/>
      <c r="E55" s="64"/>
      <c r="F55" s="64"/>
      <c r="G55" s="65"/>
      <c r="H55" s="64"/>
      <c r="I55" s="64"/>
      <c r="J55" s="64"/>
      <c r="K55" s="64"/>
      <c r="L55" s="64"/>
      <c r="M55" s="64"/>
      <c r="N55" s="64"/>
      <c r="O55" s="64"/>
      <c r="P55" s="64"/>
      <c r="Q55" s="4"/>
      <c r="R55" s="59"/>
      <c r="S55" s="59"/>
      <c r="T55" s="59"/>
      <c r="U55" s="59"/>
      <c r="V55" s="59"/>
      <c r="W55" s="59"/>
    </row>
    <row r="56" spans="1:38" s="72" customFormat="1" ht="12" customHeight="1">
      <c r="A56" s="58"/>
      <c r="C56" s="6"/>
      <c r="D56" s="89"/>
      <c r="E56" s="113"/>
      <c r="F56" s="113"/>
      <c r="G56" s="13"/>
      <c r="H56" s="113"/>
      <c r="I56" s="113"/>
      <c r="J56" s="113"/>
      <c r="K56" s="113"/>
      <c r="L56" s="113"/>
      <c r="M56" s="13"/>
      <c r="N56" s="113"/>
      <c r="O56" s="113"/>
      <c r="P56" s="113"/>
      <c r="Q56" s="113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72" customFormat="1" ht="12" customHeight="1">
      <c r="A57" s="58"/>
      <c r="C57" s="6"/>
      <c r="D57" s="89"/>
      <c r="E57" s="113"/>
      <c r="F57" s="113"/>
      <c r="G57" s="13"/>
      <c r="H57" s="113"/>
      <c r="I57" s="113"/>
      <c r="J57" s="113"/>
      <c r="K57" s="113"/>
      <c r="L57" s="113"/>
      <c r="M57" s="13"/>
      <c r="N57" s="113"/>
      <c r="O57" s="113"/>
      <c r="P57" s="113"/>
      <c r="Q57" s="113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72" customFormat="1" ht="12" customHeight="1">
      <c r="A58" s="58"/>
      <c r="C58" s="6"/>
      <c r="D58" s="89"/>
      <c r="E58" s="113"/>
      <c r="F58" s="113"/>
      <c r="G58" s="13"/>
      <c r="H58" s="113"/>
      <c r="I58" s="18" t="s">
        <v>107</v>
      </c>
      <c r="J58" s="113"/>
      <c r="K58" s="113"/>
      <c r="L58" s="113"/>
      <c r="M58" s="113"/>
      <c r="N58" s="113"/>
      <c r="O58" s="113"/>
      <c r="P58" s="113"/>
      <c r="Q58" s="113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72" customFormat="1" ht="12" customHeight="1">
      <c r="A59" s="58"/>
      <c r="B59" s="72" t="s">
        <v>60</v>
      </c>
      <c r="C59" s="6"/>
      <c r="D59" s="89"/>
      <c r="E59" s="72" t="s">
        <v>61</v>
      </c>
      <c r="F59" s="113"/>
      <c r="G59" s="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17" ht="12" customHeight="1" thickBot="1">
      <c r="A60" s="17"/>
      <c r="B60"/>
      <c r="C60"/>
      <c r="D60" s="69">
        <v>0</v>
      </c>
      <c r="E60" s="69">
        <v>1</v>
      </c>
      <c r="F60" s="69">
        <f aca="true" t="shared" si="32" ref="F60:Q60">E60+1</f>
        <v>2</v>
      </c>
      <c r="G60" s="160">
        <f t="shared" si="32"/>
        <v>3</v>
      </c>
      <c r="H60" s="69">
        <f t="shared" si="32"/>
        <v>4</v>
      </c>
      <c r="I60" s="106">
        <f t="shared" si="32"/>
        <v>5</v>
      </c>
      <c r="J60" s="106">
        <f t="shared" si="32"/>
        <v>6</v>
      </c>
      <c r="K60" s="106">
        <f t="shared" si="32"/>
        <v>7</v>
      </c>
      <c r="L60" s="106">
        <f t="shared" si="32"/>
        <v>8</v>
      </c>
      <c r="M60" s="112">
        <f t="shared" si="32"/>
        <v>9</v>
      </c>
      <c r="N60" s="106">
        <f t="shared" si="32"/>
        <v>10</v>
      </c>
      <c r="O60" s="106">
        <f t="shared" si="32"/>
        <v>11</v>
      </c>
      <c r="P60" s="106">
        <f t="shared" si="32"/>
        <v>12</v>
      </c>
      <c r="Q60" s="106">
        <f t="shared" si="32"/>
        <v>13</v>
      </c>
    </row>
    <row r="61" spans="1:17" ht="12" customHeight="1">
      <c r="A61" s="17">
        <v>1</v>
      </c>
      <c r="C61" s="4" t="s">
        <v>62</v>
      </c>
      <c r="D61" s="46">
        <f>D1</f>
        <v>1</v>
      </c>
      <c r="E61" s="46">
        <f aca="true" t="shared" si="33" ref="E61:Q61">D61</f>
        <v>1</v>
      </c>
      <c r="F61" s="46">
        <f t="shared" si="33"/>
        <v>1</v>
      </c>
      <c r="G61" s="153">
        <f t="shared" si="33"/>
        <v>1</v>
      </c>
      <c r="H61" s="46">
        <f t="shared" si="33"/>
        <v>1</v>
      </c>
      <c r="I61" s="46">
        <f t="shared" si="33"/>
        <v>1</v>
      </c>
      <c r="J61" s="46">
        <f t="shared" si="33"/>
        <v>1</v>
      </c>
      <c r="K61" s="46">
        <f t="shared" si="33"/>
        <v>1</v>
      </c>
      <c r="L61" s="46">
        <f t="shared" si="33"/>
        <v>1</v>
      </c>
      <c r="M61" s="8">
        <f t="shared" si="33"/>
        <v>1</v>
      </c>
      <c r="N61" s="46">
        <f t="shared" si="33"/>
        <v>1</v>
      </c>
      <c r="O61" s="46">
        <f t="shared" si="33"/>
        <v>1</v>
      </c>
      <c r="P61" s="8">
        <f t="shared" si="33"/>
        <v>1</v>
      </c>
      <c r="Q61" s="8">
        <f t="shared" si="33"/>
        <v>1</v>
      </c>
    </row>
    <row r="62" spans="1:17" ht="12" customHeight="1">
      <c r="A62" s="17">
        <v>2</v>
      </c>
      <c r="C62" s="4" t="s">
        <v>11</v>
      </c>
      <c r="D62" s="11">
        <f>D2</f>
        <v>0.1</v>
      </c>
      <c r="E62" s="11">
        <f aca="true" t="shared" si="34" ref="E62:Q62">D62</f>
        <v>0.1</v>
      </c>
      <c r="F62" s="11">
        <f t="shared" si="34"/>
        <v>0.1</v>
      </c>
      <c r="G62" s="57">
        <f t="shared" si="34"/>
        <v>0.1</v>
      </c>
      <c r="H62" s="11">
        <f t="shared" si="34"/>
        <v>0.1</v>
      </c>
      <c r="I62" s="11">
        <f t="shared" si="34"/>
        <v>0.1</v>
      </c>
      <c r="J62" s="11">
        <f t="shared" si="34"/>
        <v>0.1</v>
      </c>
      <c r="K62" s="11">
        <f t="shared" si="34"/>
        <v>0.1</v>
      </c>
      <c r="L62" s="11">
        <f t="shared" si="34"/>
        <v>0.1</v>
      </c>
      <c r="M62" s="57">
        <f t="shared" si="34"/>
        <v>0.1</v>
      </c>
      <c r="N62" s="11">
        <f t="shared" si="34"/>
        <v>0.1</v>
      </c>
      <c r="O62" s="11">
        <f t="shared" si="34"/>
        <v>0.1</v>
      </c>
      <c r="P62" s="11">
        <f t="shared" si="34"/>
        <v>0.1</v>
      </c>
      <c r="Q62" s="11">
        <f t="shared" si="34"/>
        <v>0.1</v>
      </c>
    </row>
    <row r="63" spans="1:17" ht="12" customHeight="1">
      <c r="A63" s="17">
        <v>3</v>
      </c>
      <c r="C63" s="4" t="s">
        <v>63</v>
      </c>
      <c r="D63" s="11">
        <f>D3</f>
        <v>0.05</v>
      </c>
      <c r="E63" s="11">
        <f aca="true" t="shared" si="35" ref="E63:Q63">D63</f>
        <v>0.05</v>
      </c>
      <c r="F63" s="11">
        <f t="shared" si="35"/>
        <v>0.05</v>
      </c>
      <c r="G63" s="57">
        <f t="shared" si="35"/>
        <v>0.05</v>
      </c>
      <c r="H63" s="11">
        <f t="shared" si="35"/>
        <v>0.05</v>
      </c>
      <c r="I63" s="11">
        <f t="shared" si="35"/>
        <v>0.05</v>
      </c>
      <c r="J63" s="11">
        <f t="shared" si="35"/>
        <v>0.05</v>
      </c>
      <c r="K63" s="11">
        <f t="shared" si="35"/>
        <v>0.05</v>
      </c>
      <c r="L63" s="11">
        <f t="shared" si="35"/>
        <v>0.05</v>
      </c>
      <c r="M63" s="57">
        <f t="shared" si="35"/>
        <v>0.05</v>
      </c>
      <c r="N63" s="11">
        <f t="shared" si="35"/>
        <v>0.05</v>
      </c>
      <c r="O63" s="11">
        <f t="shared" si="35"/>
        <v>0.05</v>
      </c>
      <c r="P63" s="11">
        <f t="shared" si="35"/>
        <v>0.05</v>
      </c>
      <c r="Q63" s="11">
        <f t="shared" si="35"/>
        <v>0.05</v>
      </c>
    </row>
    <row r="64" spans="1:23" s="7" customFormat="1" ht="12" customHeight="1">
      <c r="A64" s="17">
        <v>4</v>
      </c>
      <c r="C64" s="7" t="s">
        <v>2</v>
      </c>
      <c r="D64" s="54">
        <f aca="true" t="shared" si="36" ref="D64:M64">D62+D61*D63</f>
        <v>0.15000000000000002</v>
      </c>
      <c r="E64" s="54">
        <f t="shared" si="36"/>
        <v>0.15000000000000002</v>
      </c>
      <c r="F64" s="54">
        <f t="shared" si="36"/>
        <v>0.15000000000000002</v>
      </c>
      <c r="G64" s="53">
        <f t="shared" si="36"/>
        <v>0.15000000000000002</v>
      </c>
      <c r="H64" s="54">
        <f t="shared" si="36"/>
        <v>0.15000000000000002</v>
      </c>
      <c r="I64" s="54">
        <f t="shared" si="36"/>
        <v>0.15000000000000002</v>
      </c>
      <c r="J64" s="54">
        <f t="shared" si="36"/>
        <v>0.15000000000000002</v>
      </c>
      <c r="K64" s="54">
        <f t="shared" si="36"/>
        <v>0.15000000000000002</v>
      </c>
      <c r="L64" s="54">
        <f t="shared" si="36"/>
        <v>0.15000000000000002</v>
      </c>
      <c r="M64" s="53">
        <f t="shared" si="36"/>
        <v>0.15000000000000002</v>
      </c>
      <c r="N64" s="54">
        <f>N62+N61*N63</f>
        <v>0.15000000000000002</v>
      </c>
      <c r="O64" s="54">
        <f>O62+O61*O63</f>
        <v>0.15000000000000002</v>
      </c>
      <c r="P64" s="54">
        <f>P62+P61*P63</f>
        <v>0.15000000000000002</v>
      </c>
      <c r="Q64" s="54">
        <f>Q62+Q61*Q63</f>
        <v>0.15000000000000002</v>
      </c>
      <c r="R64" s="59"/>
      <c r="S64" s="59"/>
      <c r="T64" s="59"/>
      <c r="U64" s="59"/>
      <c r="V64" s="59"/>
      <c r="W64" s="59"/>
    </row>
    <row r="65" spans="1:23" s="7" customFormat="1" ht="12" customHeight="1" hidden="1">
      <c r="A65" s="17"/>
      <c r="C65" s="22" t="s">
        <v>64</v>
      </c>
      <c r="D65" s="12">
        <v>1</v>
      </c>
      <c r="E65" s="88">
        <f aca="true" t="shared" si="37" ref="E65:O65">D65/(1+D64)</f>
        <v>0.8695652173913044</v>
      </c>
      <c r="F65" s="88">
        <f t="shared" si="37"/>
        <v>0.7561436672967865</v>
      </c>
      <c r="G65" s="98">
        <f t="shared" si="37"/>
        <v>0.6575162324319883</v>
      </c>
      <c r="H65" s="88">
        <f t="shared" si="37"/>
        <v>0.5717532455930333</v>
      </c>
      <c r="I65" s="88">
        <f t="shared" si="37"/>
        <v>0.4971767352982899</v>
      </c>
      <c r="J65" s="88">
        <f t="shared" si="37"/>
        <v>0.43232759591155645</v>
      </c>
      <c r="K65" s="88">
        <f t="shared" si="37"/>
        <v>0.3759370399230926</v>
      </c>
      <c r="L65" s="88">
        <f t="shared" si="37"/>
        <v>0.3269017738461675</v>
      </c>
      <c r="M65" s="98">
        <f t="shared" si="37"/>
        <v>0.28426241204014563</v>
      </c>
      <c r="N65" s="88">
        <f t="shared" si="37"/>
        <v>0.24718470612186577</v>
      </c>
      <c r="O65" s="88">
        <f t="shared" si="37"/>
        <v>0.2149432227146659</v>
      </c>
      <c r="P65" s="88">
        <f>O65/(1+O64)</f>
        <v>0.186907150186666</v>
      </c>
      <c r="Q65" s="88">
        <f>P65/(1+P64)</f>
        <v>0.16252795668405742</v>
      </c>
      <c r="R65" s="59"/>
      <c r="S65" s="59"/>
      <c r="T65" s="59"/>
      <c r="U65" s="59"/>
      <c r="V65" s="59"/>
      <c r="W65" s="59"/>
    </row>
    <row r="66" spans="3:17" ht="12" customHeight="1" hidden="1">
      <c r="C66" s="4" t="s">
        <v>1</v>
      </c>
      <c r="E66" s="5">
        <f aca="true" t="shared" si="38" ref="E66:P66">E51</f>
        <v>-130</v>
      </c>
      <c r="F66" s="5">
        <f t="shared" si="38"/>
        <v>100</v>
      </c>
      <c r="G66" s="97">
        <f t="shared" si="38"/>
        <v>306.80000000000007</v>
      </c>
      <c r="H66" s="5">
        <f t="shared" si="38"/>
        <v>294.88000000000005</v>
      </c>
      <c r="I66" s="5">
        <f t="shared" si="38"/>
        <v>306.67520000000025</v>
      </c>
      <c r="J66" s="5">
        <f t="shared" si="38"/>
        <v>318.9422079999997</v>
      </c>
      <c r="K66" s="5">
        <f t="shared" si="38"/>
        <v>331.6998963199998</v>
      </c>
      <c r="L66" s="5">
        <f t="shared" si="38"/>
        <v>344.9678921728004</v>
      </c>
      <c r="M66" s="97">
        <f t="shared" si="38"/>
        <v>358.76660785971126</v>
      </c>
      <c r="N66" s="5">
        <f t="shared" si="38"/>
        <v>373.1172721741003</v>
      </c>
      <c r="O66" s="5">
        <f t="shared" si="38"/>
        <v>388.04196306106553</v>
      </c>
      <c r="P66" s="1">
        <f t="shared" si="38"/>
        <v>403.56364158350607</v>
      </c>
      <c r="Q66" s="83">
        <f>P66*(1+O$8)+P66*(1+O$8)*(1+O$8)/(P64-O$8)</f>
        <v>4387.83741212612</v>
      </c>
    </row>
    <row r="67" spans="3:17" ht="12" customHeight="1" hidden="1">
      <c r="C67" s="22" t="s">
        <v>65</v>
      </c>
      <c r="E67" s="5">
        <f>E65*E66</f>
        <v>-113.04347826086958</v>
      </c>
      <c r="F67" s="5">
        <f aca="true" t="shared" si="39" ref="F67:Q67">F65*F66</f>
        <v>75.61436672967865</v>
      </c>
      <c r="G67" s="97">
        <f t="shared" si="39"/>
        <v>201.72598011013406</v>
      </c>
      <c r="H67" s="5">
        <f t="shared" si="39"/>
        <v>168.59859706047368</v>
      </c>
      <c r="I67" s="5">
        <f t="shared" si="39"/>
        <v>152.47177473295022</v>
      </c>
      <c r="J67" s="5">
        <f t="shared" si="39"/>
        <v>137.88751801936345</v>
      </c>
      <c r="K67" s="5">
        <f t="shared" si="39"/>
        <v>124.69827716533744</v>
      </c>
      <c r="L67" s="5">
        <f t="shared" si="39"/>
        <v>112.7706158712619</v>
      </c>
      <c r="M67" s="97">
        <f t="shared" si="39"/>
        <v>101.98386130966259</v>
      </c>
      <c r="N67" s="5">
        <f t="shared" si="39"/>
        <v>92.22888327134719</v>
      </c>
      <c r="O67" s="5">
        <f t="shared" si="39"/>
        <v>83.40699008887077</v>
      </c>
      <c r="P67" s="5">
        <f t="shared" si="39"/>
        <v>75.42893016732621</v>
      </c>
      <c r="Q67" s="5">
        <f t="shared" si="39"/>
        <v>713.1462488547207</v>
      </c>
    </row>
    <row r="68" spans="1:23" s="80" customFormat="1" ht="12" customHeight="1" thickBot="1">
      <c r="A68" s="67">
        <v>5</v>
      </c>
      <c r="C68" s="189" t="s">
        <v>66</v>
      </c>
      <c r="D68" s="81">
        <f>SUM(E67:$Q67)/D65</f>
        <v>1926.9185651202574</v>
      </c>
      <c r="E68" s="81">
        <f>SUM(F67:$Q67)/E65</f>
        <v>2345.956349888296</v>
      </c>
      <c r="F68" s="81">
        <f>SUM(G67:$Q67)/F65</f>
        <v>2597.8498023715397</v>
      </c>
      <c r="G68" s="99">
        <f>SUM(H67:$Q67)/G65</f>
        <v>2680.7272727272707</v>
      </c>
      <c r="H68" s="81">
        <f>SUM(I67:$Q67)/H65</f>
        <v>2787.956363636362</v>
      </c>
      <c r="I68" s="81">
        <f>SUM(J67:$Q67)/I65</f>
        <v>2899.474618181815</v>
      </c>
      <c r="J68" s="81">
        <f>SUM(K67:$Q67)/J65</f>
        <v>3015.4536029090873</v>
      </c>
      <c r="K68" s="81">
        <f>SUM(L67:$Q67)/K65</f>
        <v>3136.0717470254503</v>
      </c>
      <c r="L68" s="81">
        <f>SUM(M67:$Q67)/L65</f>
        <v>3261.514616906467</v>
      </c>
      <c r="M68" s="99">
        <f>SUM(N67:$Q67)/M65</f>
        <v>3391.9752015827257</v>
      </c>
      <c r="N68" s="81">
        <f>SUM(O67:$Q67)/N65</f>
        <v>3527.654209646035</v>
      </c>
      <c r="O68" s="81">
        <f>SUM(P67:$Q67)/O65</f>
        <v>3668.760378031874</v>
      </c>
      <c r="P68" s="81">
        <f>SUM(Q67:$Q67)/P65</f>
        <v>3815.510793153149</v>
      </c>
      <c r="Q68" s="82"/>
      <c r="R68" s="59"/>
      <c r="S68" s="59"/>
      <c r="T68" s="59"/>
      <c r="U68" s="59"/>
      <c r="V68" s="59"/>
      <c r="W68" s="59"/>
    </row>
    <row r="69" spans="1:17" ht="10.5" hidden="1">
      <c r="A69" s="17">
        <v>42</v>
      </c>
      <c r="C69" s="6" t="s">
        <v>67</v>
      </c>
      <c r="D69" s="6"/>
      <c r="E69" s="47" t="e">
        <f>#REF!/#REF!-1</f>
        <v>#REF!</v>
      </c>
      <c r="F69" s="47" t="e">
        <f>#REF!/#REF!-1</f>
        <v>#REF!</v>
      </c>
      <c r="G69" s="32" t="e">
        <f>#REF!/#REF!-1</f>
        <v>#REF!</v>
      </c>
      <c r="H69" s="47" t="e">
        <f>#REF!/#REF!-1</f>
        <v>#REF!</v>
      </c>
      <c r="I69" s="47" t="e">
        <f>#REF!/#REF!-1</f>
        <v>#REF!</v>
      </c>
      <c r="J69" s="47" t="e">
        <f>#REF!/#REF!-1</f>
        <v>#REF!</v>
      </c>
      <c r="K69" s="47" t="e">
        <f>#REF!/#REF!-1</f>
        <v>#REF!</v>
      </c>
      <c r="L69" s="47" t="e">
        <f>#REF!/#REF!-1</f>
        <v>#REF!</v>
      </c>
      <c r="M69" s="32" t="e">
        <f>#REF!/#REF!-1</f>
        <v>#REF!</v>
      </c>
      <c r="N69" s="47" t="e">
        <f>#REF!/#REF!-1</f>
        <v>#REF!</v>
      </c>
      <c r="O69" s="47" t="e">
        <f>#REF!/#REF!-1</f>
        <v>#REF!</v>
      </c>
      <c r="P69" s="47" t="e">
        <f>#REF!/#REF!-1</f>
        <v>#REF!</v>
      </c>
      <c r="Q69" s="47" t="e">
        <f>Q68/#REF!-1</f>
        <v>#REF!</v>
      </c>
    </row>
    <row r="70" spans="1:256" ht="13.5" customHeight="1">
      <c r="A70" s="17"/>
      <c r="C70" s="168"/>
      <c r="D70" s="1"/>
      <c r="E70" s="5"/>
      <c r="F70" s="5"/>
      <c r="G70" s="5"/>
      <c r="H70" s="5"/>
      <c r="I70" s="5"/>
      <c r="J70" s="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17" ht="10.5" customHeight="1">
      <c r="A71" s="17">
        <v>6</v>
      </c>
      <c r="C71" s="4" t="s">
        <v>68</v>
      </c>
      <c r="D71" s="1">
        <f aca="true" t="shared" si="40" ref="D71:Q71">D21</f>
        <v>1000</v>
      </c>
      <c r="E71" s="1">
        <f t="shared" si="40"/>
        <v>1250</v>
      </c>
      <c r="F71" s="1">
        <f t="shared" si="40"/>
        <v>1280.5</v>
      </c>
      <c r="G71" s="31">
        <f t="shared" si="40"/>
        <v>1100</v>
      </c>
      <c r="H71" s="1">
        <f t="shared" si="40"/>
        <v>1144</v>
      </c>
      <c r="I71" s="1">
        <f t="shared" si="40"/>
        <v>1189.76</v>
      </c>
      <c r="J71" s="1">
        <f t="shared" si="40"/>
        <v>1237.3504</v>
      </c>
      <c r="K71" s="1">
        <f t="shared" si="40"/>
        <v>1286.8444160000001</v>
      </c>
      <c r="L71" s="1">
        <f t="shared" si="40"/>
        <v>1338.3181926400002</v>
      </c>
      <c r="M71" s="31">
        <f t="shared" si="40"/>
        <v>1391.8509203456003</v>
      </c>
      <c r="N71" s="1">
        <f t="shared" si="40"/>
        <v>1447.5249571594245</v>
      </c>
      <c r="O71" s="1">
        <f t="shared" si="40"/>
        <v>1505.4259554458015</v>
      </c>
      <c r="P71" s="1">
        <f t="shared" si="40"/>
        <v>1565.6429936636337</v>
      </c>
      <c r="Q71" s="1">
        <f t="shared" si="40"/>
        <v>1628.268713410179</v>
      </c>
    </row>
    <row r="72" spans="1:38" s="72" customFormat="1" ht="10.5" customHeight="1" hidden="1">
      <c r="A72" s="58"/>
      <c r="C72" s="22" t="s">
        <v>69</v>
      </c>
      <c r="D72" s="12">
        <v>1</v>
      </c>
      <c r="E72" s="88">
        <f aca="true" t="shared" si="41" ref="E72:Q72">D72/(1+D77)</f>
        <v>0.8849557522123894</v>
      </c>
      <c r="F72" s="88">
        <f t="shared" si="41"/>
        <v>0.783146683373796</v>
      </c>
      <c r="G72" s="98">
        <f t="shared" si="41"/>
        <v>0.6930501622776957</v>
      </c>
      <c r="H72" s="88">
        <f t="shared" si="41"/>
        <v>0.6133187276793768</v>
      </c>
      <c r="I72" s="88">
        <f t="shared" si="41"/>
        <v>0.5427599359994485</v>
      </c>
      <c r="J72" s="88">
        <f t="shared" si="41"/>
        <v>0.4803185274331403</v>
      </c>
      <c r="K72" s="88">
        <f t="shared" si="41"/>
        <v>0.4250606437461419</v>
      </c>
      <c r="L72" s="88">
        <f t="shared" si="41"/>
        <v>0.37615986172224947</v>
      </c>
      <c r="M72" s="98">
        <f t="shared" si="41"/>
        <v>0.33288483338252167</v>
      </c>
      <c r="N72" s="88">
        <f t="shared" si="41"/>
        <v>0.2945883481261254</v>
      </c>
      <c r="O72" s="88">
        <f t="shared" si="41"/>
        <v>0.26069765320896054</v>
      </c>
      <c r="P72" s="88">
        <f t="shared" si="41"/>
        <v>0.23070588779554033</v>
      </c>
      <c r="Q72" s="88">
        <f t="shared" si="41"/>
        <v>0.2041645024739295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17" s="72" customFormat="1" ht="10.5" customHeight="1" hidden="1">
      <c r="A73" s="58"/>
      <c r="C73" s="4" t="s">
        <v>57</v>
      </c>
      <c r="D73" s="89"/>
      <c r="E73" s="90">
        <f aca="true" t="shared" si="42" ref="E73:P73">E52</f>
        <v>-130</v>
      </c>
      <c r="F73" s="90">
        <f t="shared" si="42"/>
        <v>119.5</v>
      </c>
      <c r="G73" s="98">
        <f t="shared" si="42"/>
        <v>334.15999999999997</v>
      </c>
      <c r="H73" s="90">
        <f t="shared" si="42"/>
        <v>88</v>
      </c>
      <c r="I73" s="90">
        <f t="shared" si="42"/>
        <v>91.52000000000001</v>
      </c>
      <c r="J73" s="90">
        <f t="shared" si="42"/>
        <v>95.18079999999995</v>
      </c>
      <c r="K73" s="90">
        <f t="shared" si="42"/>
        <v>98.98803199999989</v>
      </c>
      <c r="L73" s="90">
        <f t="shared" si="42"/>
        <v>102.94755327999991</v>
      </c>
      <c r="M73" s="98">
        <f t="shared" si="42"/>
        <v>107.0654554111999</v>
      </c>
      <c r="N73" s="90">
        <f t="shared" si="42"/>
        <v>111.34807362764786</v>
      </c>
      <c r="O73" s="90">
        <f t="shared" si="42"/>
        <v>115.80199657275395</v>
      </c>
      <c r="P73" s="90">
        <f t="shared" si="42"/>
        <v>120.434076435664</v>
      </c>
      <c r="Q73" s="83">
        <f>P73*(1+O$8)+P73*(1+O$8)*(1+O$8)/(P77-O$8)</f>
        <v>1572.601406968804</v>
      </c>
    </row>
    <row r="74" spans="1:17" s="72" customFormat="1" ht="10.5" customHeight="1" hidden="1">
      <c r="A74" s="58"/>
      <c r="C74" s="22" t="s">
        <v>70</v>
      </c>
      <c r="D74" s="89"/>
      <c r="E74" s="90">
        <f aca="true" t="shared" si="43" ref="E74:Q74">E73*E72</f>
        <v>-115.04424778761063</v>
      </c>
      <c r="F74" s="90">
        <f t="shared" si="43"/>
        <v>93.58602866316862</v>
      </c>
      <c r="G74" s="98">
        <f t="shared" si="43"/>
        <v>231.58964222671477</v>
      </c>
      <c r="H74" s="90">
        <f t="shared" si="43"/>
        <v>53.97204803578516</v>
      </c>
      <c r="I74" s="90">
        <f t="shared" si="43"/>
        <v>49.67338934266953</v>
      </c>
      <c r="J74" s="90">
        <f t="shared" si="43"/>
        <v>45.71710169590821</v>
      </c>
      <c r="K74" s="90">
        <f t="shared" si="43"/>
        <v>42.07591660508365</v>
      </c>
      <c r="L74" s="90">
        <f t="shared" si="43"/>
        <v>38.724737406448675</v>
      </c>
      <c r="M74" s="98">
        <f t="shared" si="43"/>
        <v>35.640466285581084</v>
      </c>
      <c r="N74" s="90">
        <f t="shared" si="43"/>
        <v>32.80184507699497</v>
      </c>
      <c r="O74" s="90">
        <f t="shared" si="43"/>
        <v>30.189308743429045</v>
      </c>
      <c r="P74" s="90">
        <f t="shared" si="43"/>
        <v>27.784850524925826</v>
      </c>
      <c r="Q74" s="90">
        <f t="shared" si="43"/>
        <v>321.0693838435874</v>
      </c>
    </row>
    <row r="75" spans="1:17" ht="10.5" customHeight="1" thickBot="1">
      <c r="A75" s="67">
        <v>7</v>
      </c>
      <c r="B75" s="68"/>
      <c r="C75" s="121" t="s">
        <v>71</v>
      </c>
      <c r="D75" s="81">
        <f>SUM(E74:$Q74)/D72</f>
        <v>887.7804706626864</v>
      </c>
      <c r="E75" s="81">
        <f>SUM(F74:$Q74)/E72</f>
        <v>1133.1919318488353</v>
      </c>
      <c r="F75" s="81">
        <f>SUM(G74:$Q74)/F72</f>
        <v>1161.0068829891839</v>
      </c>
      <c r="G75" s="99">
        <f>SUM(H74:$Q74)/G72</f>
        <v>977.7777777777778</v>
      </c>
      <c r="H75" s="81">
        <f>SUM(I74:$Q74)/H72</f>
        <v>1016.8888888888888</v>
      </c>
      <c r="I75" s="81">
        <f>SUM(J74:$Q74)/I72</f>
        <v>1057.5644444444442</v>
      </c>
      <c r="J75" s="81">
        <f>SUM(K74:$Q74)/J72</f>
        <v>1099.8670222222217</v>
      </c>
      <c r="K75" s="81">
        <f>SUM(L74:$Q74)/K72</f>
        <v>1143.8617031111107</v>
      </c>
      <c r="L75" s="81">
        <f>SUM(M74:$Q74)/L72</f>
        <v>1189.6161712355552</v>
      </c>
      <c r="M75" s="99">
        <f>SUM(N74:$Q74)/M72</f>
        <v>1237.2008180849775</v>
      </c>
      <c r="N75" s="81">
        <f>SUM(O74:$Q74)/N72</f>
        <v>1286.6888508083766</v>
      </c>
      <c r="O75" s="81">
        <f>SUM(P74:$Q74)/O72</f>
        <v>1338.1564048407115</v>
      </c>
      <c r="P75" s="81">
        <f>SUM(Q74:$Q74)/P72</f>
        <v>1391.6826610343398</v>
      </c>
      <c r="Q75" s="70"/>
    </row>
    <row r="76" spans="1:17" ht="12" customHeight="1">
      <c r="A76" s="17">
        <v>8</v>
      </c>
      <c r="C76" s="7" t="s">
        <v>17</v>
      </c>
      <c r="D76" s="54">
        <f>D7</f>
        <v>0.12</v>
      </c>
      <c r="E76" s="146">
        <f aca="true" t="shared" si="44" ref="E76:Q76">D76</f>
        <v>0.12</v>
      </c>
      <c r="F76" s="146">
        <f t="shared" si="44"/>
        <v>0.12</v>
      </c>
      <c r="G76" s="147">
        <f t="shared" si="44"/>
        <v>0.12</v>
      </c>
      <c r="H76" s="146">
        <f t="shared" si="44"/>
        <v>0.12</v>
      </c>
      <c r="I76" s="146">
        <f t="shared" si="44"/>
        <v>0.12</v>
      </c>
      <c r="J76" s="146">
        <f t="shared" si="44"/>
        <v>0.12</v>
      </c>
      <c r="K76" s="146">
        <f t="shared" si="44"/>
        <v>0.12</v>
      </c>
      <c r="L76" s="146">
        <f t="shared" si="44"/>
        <v>0.12</v>
      </c>
      <c r="M76" s="147">
        <f t="shared" si="44"/>
        <v>0.12</v>
      </c>
      <c r="N76" s="146">
        <f t="shared" si="44"/>
        <v>0.12</v>
      </c>
      <c r="O76" s="146">
        <f t="shared" si="44"/>
        <v>0.12</v>
      </c>
      <c r="P76" s="146">
        <f t="shared" si="44"/>
        <v>0.12</v>
      </c>
      <c r="Q76" s="146">
        <f t="shared" si="44"/>
        <v>0.12</v>
      </c>
    </row>
    <row r="77" spans="1:23" s="108" customFormat="1" ht="12" customHeight="1">
      <c r="A77" s="17">
        <v>9</v>
      </c>
      <c r="C77" s="108" t="s">
        <v>18</v>
      </c>
      <c r="D77" s="54">
        <f>D8</f>
        <v>0.13</v>
      </c>
      <c r="E77" s="54">
        <f aca="true" t="shared" si="45" ref="E77:Q77">D77</f>
        <v>0.13</v>
      </c>
      <c r="F77" s="54">
        <f t="shared" si="45"/>
        <v>0.13</v>
      </c>
      <c r="G77" s="53">
        <f t="shared" si="45"/>
        <v>0.13</v>
      </c>
      <c r="H77" s="54">
        <f t="shared" si="45"/>
        <v>0.13</v>
      </c>
      <c r="I77" s="54">
        <f t="shared" si="45"/>
        <v>0.13</v>
      </c>
      <c r="J77" s="54">
        <f t="shared" si="45"/>
        <v>0.13</v>
      </c>
      <c r="K77" s="54">
        <f t="shared" si="45"/>
        <v>0.13</v>
      </c>
      <c r="L77" s="54">
        <f t="shared" si="45"/>
        <v>0.13</v>
      </c>
      <c r="M77" s="53">
        <f t="shared" si="45"/>
        <v>0.13</v>
      </c>
      <c r="N77" s="54">
        <f t="shared" si="45"/>
        <v>0.13</v>
      </c>
      <c r="O77" s="54">
        <f t="shared" si="45"/>
        <v>0.13</v>
      </c>
      <c r="P77" s="54">
        <f t="shared" si="45"/>
        <v>0.13</v>
      </c>
      <c r="Q77" s="54">
        <f t="shared" si="45"/>
        <v>0.13</v>
      </c>
      <c r="R77" s="107"/>
      <c r="S77" s="107"/>
      <c r="T77" s="107"/>
      <c r="U77" s="107"/>
      <c r="V77" s="107"/>
      <c r="W77" s="107"/>
    </row>
    <row r="78" spans="1:23" s="45" customFormat="1" ht="12" customHeight="1">
      <c r="A78" s="48">
        <v>10</v>
      </c>
      <c r="C78" s="45" t="s">
        <v>72</v>
      </c>
      <c r="D78" s="84">
        <f aca="true" t="shared" si="46" ref="D78:M78">(D77-D62)/D63</f>
        <v>0.6</v>
      </c>
      <c r="E78" s="84">
        <f t="shared" si="46"/>
        <v>0.6</v>
      </c>
      <c r="F78" s="84">
        <f t="shared" si="46"/>
        <v>0.6</v>
      </c>
      <c r="G78" s="154">
        <f t="shared" si="46"/>
        <v>0.6</v>
      </c>
      <c r="H78" s="84">
        <f t="shared" si="46"/>
        <v>0.6</v>
      </c>
      <c r="I78" s="84">
        <f t="shared" si="46"/>
        <v>0.6</v>
      </c>
      <c r="J78" s="85">
        <f t="shared" si="46"/>
        <v>0.6</v>
      </c>
      <c r="K78" s="85">
        <f t="shared" si="46"/>
        <v>0.6</v>
      </c>
      <c r="L78" s="85">
        <f t="shared" si="46"/>
        <v>0.6</v>
      </c>
      <c r="M78" s="86">
        <f t="shared" si="46"/>
        <v>0.6</v>
      </c>
      <c r="N78" s="85">
        <f>(N77-N62)/N63</f>
        <v>0.6</v>
      </c>
      <c r="O78" s="85">
        <f>(O77-O62)/O63</f>
        <v>0.6</v>
      </c>
      <c r="P78" s="85">
        <f>(P77-P62)/P63</f>
        <v>0.6</v>
      </c>
      <c r="Q78" s="87">
        <f>(Q77-Q62)/Q63</f>
        <v>0.6</v>
      </c>
      <c r="R78" s="72"/>
      <c r="S78" s="72"/>
      <c r="T78" s="72"/>
      <c r="U78" s="72"/>
      <c r="V78" s="72"/>
      <c r="W78" s="72"/>
    </row>
    <row r="79" spans="1:17" ht="12" customHeight="1">
      <c r="A79" s="17">
        <v>11</v>
      </c>
      <c r="C79" s="162" t="s">
        <v>73</v>
      </c>
      <c r="D79" s="46"/>
      <c r="E79" s="153">
        <f>D75*D64*E40+E40*(D71*D76-D75*D77)</f>
        <v>0</v>
      </c>
      <c r="F79" s="153">
        <f>E75*E64*F40+F40*(E71*E76-E75*E77)</f>
        <v>22.446299022806976</v>
      </c>
      <c r="G79" s="153">
        <f aca="true" t="shared" si="47" ref="G79:P79">F75*F64*$H$6+$F$1*(F71*F76-F75*F77)</f>
        <v>61.90804818092429</v>
      </c>
      <c r="H79" s="46">
        <f t="shared" si="47"/>
        <v>53.04444444444444</v>
      </c>
      <c r="I79" s="46">
        <f t="shared" si="47"/>
        <v>55.16622222222222</v>
      </c>
      <c r="J79" s="46">
        <f t="shared" si="47"/>
        <v>57.37287111111111</v>
      </c>
      <c r="K79" s="46">
        <f t="shared" si="47"/>
        <v>59.667785955555544</v>
      </c>
      <c r="L79" s="46">
        <f t="shared" si="47"/>
        <v>62.05449739377779</v>
      </c>
      <c r="M79" s="46">
        <f t="shared" si="47"/>
        <v>64.5366772895289</v>
      </c>
      <c r="N79" s="46">
        <f t="shared" si="47"/>
        <v>67.11814438111006</v>
      </c>
      <c r="O79" s="46">
        <f t="shared" si="47"/>
        <v>69.80287015635447</v>
      </c>
      <c r="P79" s="46">
        <f t="shared" si="47"/>
        <v>72.59498496260865</v>
      </c>
      <c r="Q79" s="83">
        <f>P79*(1+O$8)+P79*(1+O$8)*(1+O$8)/(P64-O$8)</f>
        <v>789.3054728661812</v>
      </c>
    </row>
    <row r="80" spans="3:17" ht="12" customHeight="1" hidden="1">
      <c r="C80" s="22" t="s">
        <v>74</v>
      </c>
      <c r="E80" s="5">
        <f>E65*E79</f>
        <v>0</v>
      </c>
      <c r="F80" s="5">
        <f>F65*F79</f>
        <v>16.972626860345542</v>
      </c>
      <c r="G80" s="97">
        <f>G65*G79</f>
        <v>40.705546597139346</v>
      </c>
      <c r="H80" s="5">
        <f>H65*H79</f>
        <v>30.328333271790452</v>
      </c>
      <c r="I80" s="5">
        <f>I65*I79</f>
        <v>27.427362263184413</v>
      </c>
      <c r="J80" s="5">
        <f>J65*J79</f>
        <v>24.803875438010255</v>
      </c>
      <c r="K80" s="5">
        <f>K65*K79</f>
        <v>22.431330830896226</v>
      </c>
      <c r="L80" s="5">
        <f>L65*L79</f>
        <v>20.285725273158334</v>
      </c>
      <c r="M80" s="97">
        <f>M65*M79</f>
        <v>18.345351551377973</v>
      </c>
      <c r="N80" s="5">
        <f>N65*N79</f>
        <v>16.590578794289645</v>
      </c>
      <c r="O80" s="5">
        <f>O65*O79</f>
        <v>15.003653866140205</v>
      </c>
      <c r="P80" s="5">
        <f>P65*P79</f>
        <v>13.568521757205055</v>
      </c>
      <c r="Q80" s="5">
        <f>Q65*Q79</f>
        <v>128.28420570448415</v>
      </c>
    </row>
    <row r="81" spans="1:17" ht="12" customHeight="1">
      <c r="A81" s="17">
        <v>12</v>
      </c>
      <c r="C81" s="162" t="s">
        <v>106</v>
      </c>
      <c r="D81" s="73">
        <f>SUM(E80:$Q80)/D65</f>
        <v>374.74711220802163</v>
      </c>
      <c r="E81" s="73">
        <f>SUM(F80:$Q80)/E65</f>
        <v>430.9591790392248</v>
      </c>
      <c r="F81" s="73">
        <f>SUM(G80:$Q80)/F65</f>
        <v>473.15675687230157</v>
      </c>
      <c r="G81" s="31">
        <f>SUM(H80:$Q80)/G65</f>
        <v>482.22222222222246</v>
      </c>
      <c r="H81" s="73">
        <f>SUM(I80:$Q80)/H65</f>
        <v>501.51111111111135</v>
      </c>
      <c r="I81" s="73">
        <f>SUM(J80:$Q80)/I65</f>
        <v>521.5715555555557</v>
      </c>
      <c r="J81" s="73">
        <f>SUM(K80:$Q80)/J65</f>
        <v>542.434417777778</v>
      </c>
      <c r="K81" s="73">
        <f>SUM(L80:$Q80)/K65</f>
        <v>564.1317944888891</v>
      </c>
      <c r="L81" s="73">
        <f>SUM(M80:$Q80)/L65</f>
        <v>586.6970662684446</v>
      </c>
      <c r="M81" s="31">
        <f>SUM(N80:$Q80)/M65</f>
        <v>610.1649489191824</v>
      </c>
      <c r="N81" s="73">
        <f>SUM(O80:$Q80)/N65</f>
        <v>634.5715468759497</v>
      </c>
      <c r="O81" s="73">
        <f>SUM(P80:$Q80)/O65</f>
        <v>659.9544087509877</v>
      </c>
      <c r="P81" s="73">
        <f>SUM(Q80:$Q80)/P65</f>
        <v>686.3525851010272</v>
      </c>
      <c r="Q81" s="73">
        <f>SUM($Q80:R80)/Q65</f>
        <v>789.3054728661812</v>
      </c>
    </row>
    <row r="82" spans="1:17" ht="12" customHeight="1">
      <c r="A82" s="17">
        <v>13</v>
      </c>
      <c r="C82" s="162" t="s">
        <v>105</v>
      </c>
      <c r="D82" s="1">
        <f>D81+D68</f>
        <v>2301.665677328279</v>
      </c>
      <c r="E82" s="1">
        <f>E81+E68</f>
        <v>2776.9155289275204</v>
      </c>
      <c r="F82" s="1">
        <f>F81+F68</f>
        <v>3071.0065592438414</v>
      </c>
      <c r="G82" s="31">
        <f>G81+G68</f>
        <v>3162.9494949494933</v>
      </c>
      <c r="H82" s="1">
        <f>H81+H68</f>
        <v>3289.4674747474733</v>
      </c>
      <c r="I82" s="1">
        <f>I81+I68</f>
        <v>3421.0461737373707</v>
      </c>
      <c r="J82" s="1">
        <f>J81+J68</f>
        <v>3557.8880206868653</v>
      </c>
      <c r="K82" s="1">
        <f>K81+K68</f>
        <v>3700.2035415143396</v>
      </c>
      <c r="L82" s="1">
        <f>L81+L68</f>
        <v>3848.2116831749117</v>
      </c>
      <c r="M82" s="31">
        <f>M81+M68</f>
        <v>4002.140150501908</v>
      </c>
      <c r="N82" s="1">
        <f>N81+N68</f>
        <v>4162.225756521984</v>
      </c>
      <c r="O82" s="1">
        <f>O81+O68</f>
        <v>4328.714786782862</v>
      </c>
      <c r="P82" s="1">
        <f>P81+P68</f>
        <v>4501.8633782541765</v>
      </c>
      <c r="Q82" s="1"/>
    </row>
    <row r="83" spans="1:23" s="68" customFormat="1" ht="12" customHeight="1" thickBot="1">
      <c r="A83" s="67">
        <v>14</v>
      </c>
      <c r="B83" s="68" t="s">
        <v>75</v>
      </c>
      <c r="C83" s="80" t="s">
        <v>76</v>
      </c>
      <c r="D83" s="81">
        <f>D82-D75</f>
        <v>1413.8852066655925</v>
      </c>
      <c r="E83" s="81">
        <f>E82-E75</f>
        <v>1643.723597078685</v>
      </c>
      <c r="F83" s="81">
        <f>F82-F75</f>
        <v>1909.9996762546575</v>
      </c>
      <c r="G83" s="99">
        <f>G82-G75</f>
        <v>2185.1717171717155</v>
      </c>
      <c r="H83" s="81">
        <f>H82-H75</f>
        <v>2272.5785858585846</v>
      </c>
      <c r="I83" s="81">
        <f>I82-I75</f>
        <v>2363.4817292929265</v>
      </c>
      <c r="J83" s="81">
        <f>J82-J75</f>
        <v>2458.0209984646435</v>
      </c>
      <c r="K83" s="81">
        <f>K82-K75</f>
        <v>2556.341838403229</v>
      </c>
      <c r="L83" s="81">
        <f>L82-L75</f>
        <v>2658.5955119393566</v>
      </c>
      <c r="M83" s="99">
        <f>M82-M75</f>
        <v>2764.9393324169305</v>
      </c>
      <c r="N83" s="81">
        <f>N82-N75</f>
        <v>2875.5369057136077</v>
      </c>
      <c r="O83" s="81">
        <f>O82-O75</f>
        <v>2990.55838194215</v>
      </c>
      <c r="P83" s="81">
        <f>P82-P75</f>
        <v>3110.180717219837</v>
      </c>
      <c r="Q83" s="81"/>
      <c r="R83" s="72"/>
      <c r="S83" s="72"/>
      <c r="T83" s="72"/>
      <c r="U83" s="72"/>
      <c r="V83" s="72"/>
      <c r="W83" s="72"/>
    </row>
    <row r="84" spans="1:17" ht="10.5" hidden="1">
      <c r="A84" s="17"/>
      <c r="C84" s="6" t="s">
        <v>77</v>
      </c>
      <c r="D84" s="6"/>
      <c r="E84" s="47">
        <f aca="true" t="shared" si="48" ref="E84:N84">E83/D83-1</f>
        <v>0.16255802757504423</v>
      </c>
      <c r="F84" s="47">
        <f t="shared" si="48"/>
        <v>0.1619956540437899</v>
      </c>
      <c r="G84" s="32">
        <f t="shared" si="48"/>
        <v>0.14406915578993518</v>
      </c>
      <c r="H84" s="47">
        <f t="shared" si="48"/>
        <v>0.04000000000000026</v>
      </c>
      <c r="I84" s="47">
        <f t="shared" si="48"/>
        <v>0.03999999999999937</v>
      </c>
      <c r="J84" s="47">
        <f t="shared" si="48"/>
        <v>0.040000000000000036</v>
      </c>
      <c r="K84" s="47">
        <f t="shared" si="48"/>
        <v>0.039999999999999813</v>
      </c>
      <c r="L84" s="47">
        <f t="shared" si="48"/>
        <v>0.03999999999999937</v>
      </c>
      <c r="M84" s="32">
        <f t="shared" si="48"/>
        <v>0.039999999999999813</v>
      </c>
      <c r="N84" s="47">
        <f t="shared" si="48"/>
        <v>0.040000000000000036</v>
      </c>
      <c r="O84" s="47">
        <f>O83/N83-1</f>
        <v>0.03999999999999937</v>
      </c>
      <c r="P84" s="47">
        <f>P83/O83-1</f>
        <v>0.04000000000000026</v>
      </c>
      <c r="Q84" s="47">
        <f>Q83/P83-1</f>
        <v>-1</v>
      </c>
    </row>
    <row r="85" spans="1:17" ht="9" customHeight="1">
      <c r="A85" s="17"/>
      <c r="C85" s="6"/>
      <c r="D85" s="164"/>
      <c r="E85" s="6"/>
      <c r="F85" s="6"/>
      <c r="G85" s="155"/>
      <c r="H85" s="6"/>
      <c r="I85" s="6"/>
      <c r="J85" s="6"/>
      <c r="K85" s="6"/>
      <c r="L85" s="6"/>
      <c r="M85" s="32"/>
      <c r="N85" s="6"/>
      <c r="O85" s="6"/>
      <c r="P85" s="6"/>
      <c r="Q85" s="47"/>
    </row>
    <row r="86" spans="1:17" ht="12.75" customHeight="1">
      <c r="A86" s="17">
        <v>15</v>
      </c>
      <c r="C86" s="4" t="s">
        <v>78</v>
      </c>
      <c r="D86" s="12">
        <f>D61*(D75*(1-E40)+D92)/D92-D78*D75*(1-E40)/D92</f>
        <v>1.2511605515008866</v>
      </c>
      <c r="E86" s="12">
        <f>E61*(E75*(1-F40)+E92)/E92-E78*E75*(1-F40)/E92</f>
        <v>1.2399130808757972</v>
      </c>
      <c r="F86" s="12">
        <f>F61*(F75*(1-$F1)+F92)/F92-F78*F75*(1-$F1)/F92</f>
        <v>1.1580428485564525</v>
      </c>
      <c r="G86" s="102">
        <f>G61*(G75*(1-$F1)+G92)/G92-G78*G75*(1-$F1)/G92</f>
        <v>1.1163397000906017</v>
      </c>
      <c r="H86" s="12">
        <f>H61*(H75*(1-$F1)+H92)/H92-H78*H75*(1-$F1)/H92</f>
        <v>1.1163397000906017</v>
      </c>
      <c r="I86" s="12">
        <f>I61*(I75*(1-$F1)+I92)/I92-I78*I75*(1-$F1)/I92</f>
        <v>1.1163397000906017</v>
      </c>
      <c r="J86" s="12">
        <f>J61*(J75*(1-$F1)+J92)/J92-J78*J75*(1-$F1)/J92</f>
        <v>1.1163397000906015</v>
      </c>
      <c r="K86" s="12">
        <f>K61*(K75*(1-$F1)+K92)/K92-K78*K75*(1-$F1)/K92</f>
        <v>1.1163397000906015</v>
      </c>
      <c r="L86" s="12">
        <f>L61*(L75*(1-$F1)+L92)/L92-L78*L75*(1-$F1)/L92</f>
        <v>1.116339700090602</v>
      </c>
      <c r="M86" s="102">
        <f>M61*(M75*(1-$F1)+M92)/M92-M78*M75*(1-$F1)/M92</f>
        <v>1.1163397000906017</v>
      </c>
      <c r="N86" s="12">
        <f>N61*(N75*(1-$F1)+N92)/N92-N78*N75*(1-$F1)/N92</f>
        <v>1.116339700090602</v>
      </c>
      <c r="O86" s="12">
        <f>O61*(O75*(1-$F1)+O92)/O92-O78*O75*(1-$F1)/O92</f>
        <v>1.1163397000906017</v>
      </c>
      <c r="P86" s="12">
        <f>P61*(P75*(1-$F1)+P92)/P92-P78*P75*(1-$F1)/P92</f>
        <v>1.1163397000906017</v>
      </c>
      <c r="Q86" s="12"/>
    </row>
    <row r="87" spans="1:23" s="7" customFormat="1" ht="12" customHeight="1">
      <c r="A87" s="17">
        <v>16</v>
      </c>
      <c r="C87" s="7" t="s">
        <v>3</v>
      </c>
      <c r="D87" s="54">
        <f>D62+D63*D86</f>
        <v>0.16255802757504434</v>
      </c>
      <c r="E87" s="54">
        <f>E62+E63*E86</f>
        <v>0.16199565404378988</v>
      </c>
      <c r="F87" s="54">
        <f>F62+F63*F86</f>
        <v>0.15790214242782263</v>
      </c>
      <c r="G87" s="53">
        <f>G62+G63*G86</f>
        <v>0.1558169850045301</v>
      </c>
      <c r="H87" s="54">
        <f>H62+H63*H86</f>
        <v>0.1558169850045301</v>
      </c>
      <c r="I87" s="54">
        <f>I62+I63*I86</f>
        <v>0.1558169850045301</v>
      </c>
      <c r="J87" s="54">
        <f>J62+J63*J86</f>
        <v>0.1558169850045301</v>
      </c>
      <c r="K87" s="54">
        <f>K62+K63*K86</f>
        <v>0.1558169850045301</v>
      </c>
      <c r="L87" s="54">
        <f>L62+L63*L86</f>
        <v>0.15581698500453012</v>
      </c>
      <c r="M87" s="53">
        <f>M62+M63*M86</f>
        <v>0.1558169850045301</v>
      </c>
      <c r="N87" s="54">
        <f>N62+N63*N86</f>
        <v>0.15581698500453012</v>
      </c>
      <c r="O87" s="54">
        <f>O62+O63*O86</f>
        <v>0.1558169850045301</v>
      </c>
      <c r="P87" s="54">
        <f>P62+P63*P86</f>
        <v>0.1558169850045301</v>
      </c>
      <c r="Q87" s="54">
        <f>P87</f>
        <v>0.1558169850045301</v>
      </c>
      <c r="R87" s="59"/>
      <c r="S87" s="59"/>
      <c r="T87" s="59"/>
      <c r="U87" s="59"/>
      <c r="V87" s="59"/>
      <c r="W87" s="59"/>
    </row>
    <row r="88" spans="1:17" ht="12" customHeight="1" hidden="1">
      <c r="A88" s="17"/>
      <c r="C88" s="22" t="s">
        <v>79</v>
      </c>
      <c r="D88" s="12">
        <v>1</v>
      </c>
      <c r="E88" s="12">
        <f>1/(1+D87)</f>
        <v>0.8601721172455188</v>
      </c>
      <c r="F88" s="49">
        <f aca="true" t="shared" si="49" ref="F88:Q88">E88/(1+E87)</f>
        <v>0.7402541603766645</v>
      </c>
      <c r="G88" s="100">
        <f t="shared" si="49"/>
        <v>0.6393063224017723</v>
      </c>
      <c r="H88" s="49">
        <f t="shared" si="49"/>
        <v>0.5531207195395789</v>
      </c>
      <c r="I88" s="49">
        <f t="shared" si="49"/>
        <v>0.47855389453150404</v>
      </c>
      <c r="J88" s="49">
        <f t="shared" si="49"/>
        <v>0.4140395068944487</v>
      </c>
      <c r="K88" s="49">
        <f t="shared" si="49"/>
        <v>0.3582223762638562</v>
      </c>
      <c r="L88" s="49">
        <f t="shared" si="49"/>
        <v>0.3099300156611319</v>
      </c>
      <c r="M88" s="100">
        <f t="shared" si="49"/>
        <v>0.26814800239323106</v>
      </c>
      <c r="N88" s="49">
        <f t="shared" si="49"/>
        <v>0.23199866922891782</v>
      </c>
      <c r="O88" s="49">
        <f t="shared" si="49"/>
        <v>0.20072266824146776</v>
      </c>
      <c r="P88" s="49">
        <f t="shared" si="49"/>
        <v>0.1736630200504287</v>
      </c>
      <c r="Q88" s="49">
        <f t="shared" si="49"/>
        <v>0.15025131340300216</v>
      </c>
    </row>
    <row r="89" spans="1:17" ht="12" customHeight="1" hidden="1">
      <c r="A89" s="17"/>
      <c r="B89" s="45"/>
      <c r="C89" s="45" t="s">
        <v>55</v>
      </c>
      <c r="D89" s="45"/>
      <c r="E89" s="45">
        <f aca="true" t="shared" si="50" ref="E89:P89">E50</f>
        <v>0</v>
      </c>
      <c r="F89" s="45">
        <f t="shared" si="50"/>
        <v>0</v>
      </c>
      <c r="G89" s="103">
        <f t="shared" si="50"/>
        <v>26.42100000000005</v>
      </c>
      <c r="H89" s="45">
        <f t="shared" si="50"/>
        <v>253.08000000000004</v>
      </c>
      <c r="I89" s="45">
        <f t="shared" si="50"/>
        <v>263.20320000000027</v>
      </c>
      <c r="J89" s="45">
        <f t="shared" si="50"/>
        <v>273.73132799999973</v>
      </c>
      <c r="K89" s="45">
        <f t="shared" si="50"/>
        <v>284.68058111999994</v>
      </c>
      <c r="L89" s="45">
        <f t="shared" si="50"/>
        <v>296.0678043648005</v>
      </c>
      <c r="M89" s="103">
        <f t="shared" si="50"/>
        <v>307.9105165393913</v>
      </c>
      <c r="N89" s="45">
        <f t="shared" si="50"/>
        <v>320.22693720096765</v>
      </c>
      <c r="O89" s="45">
        <f t="shared" si="50"/>
        <v>333.0360146890074</v>
      </c>
      <c r="P89" s="45">
        <f t="shared" si="50"/>
        <v>346.3574552765657</v>
      </c>
      <c r="Q89" s="1">
        <f>P89*(1+O$8)+P89*(1+O$8)*(1+O$8)/(P87-O$8)</f>
        <v>3594.799699396258</v>
      </c>
    </row>
    <row r="90" spans="1:23" s="141" customFormat="1" ht="0.75" customHeight="1">
      <c r="A90" s="140"/>
      <c r="C90" s="142" t="s">
        <v>80</v>
      </c>
      <c r="D90" s="143"/>
      <c r="E90" s="143">
        <f>E89*E88</f>
        <v>0</v>
      </c>
      <c r="F90" s="143">
        <f>F89*F88</f>
        <v>0</v>
      </c>
      <c r="G90" s="144">
        <f aca="true" t="shared" si="51" ref="G90:Q90">G89*G88</f>
        <v>16.89111234417726</v>
      </c>
      <c r="H90" s="143">
        <f t="shared" si="51"/>
        <v>139.98379170107665</v>
      </c>
      <c r="I90" s="143">
        <f t="shared" si="51"/>
        <v>125.95691641315449</v>
      </c>
      <c r="J90" s="143">
        <f t="shared" si="51"/>
        <v>113.33558406668249</v>
      </c>
      <c r="K90" s="143">
        <f t="shared" si="51"/>
        <v>101.97895424498186</v>
      </c>
      <c r="L90" s="143">
        <f t="shared" si="51"/>
        <v>91.76029924353955</v>
      </c>
      <c r="M90" s="144">
        <f t="shared" si="51"/>
        <v>82.56558992590571</v>
      </c>
      <c r="N90" s="143">
        <f t="shared" si="51"/>
        <v>74.29222328187673</v>
      </c>
      <c r="O90" s="143">
        <f t="shared" si="51"/>
        <v>66.84787748888222</v>
      </c>
      <c r="P90" s="143">
        <f t="shared" si="51"/>
        <v>60.149481700309686</v>
      </c>
      <c r="Q90" s="143">
        <f t="shared" si="51"/>
        <v>540.123376255005</v>
      </c>
      <c r="R90" s="145"/>
      <c r="S90" s="145"/>
      <c r="T90" s="145"/>
      <c r="U90" s="145"/>
      <c r="V90" s="145"/>
      <c r="W90" s="145"/>
    </row>
    <row r="91" spans="1:23" s="68" customFormat="1" ht="12.75" customHeight="1" thickBot="1">
      <c r="A91" s="67">
        <v>17</v>
      </c>
      <c r="C91" s="69" t="s">
        <v>81</v>
      </c>
      <c r="D91" s="81">
        <f>SUM(E90:$Q90)/D88</f>
        <v>1413.8852066655918</v>
      </c>
      <c r="E91" s="81">
        <f>SUM(F90:$Q90)/E88</f>
        <v>1643.7235970786842</v>
      </c>
      <c r="F91" s="81">
        <f>SUM(G90:$Q90)/F88</f>
        <v>1909.9996762546566</v>
      </c>
      <c r="G91" s="99">
        <f>SUM(H90:$Q90)/G88</f>
        <v>2185.171717171714</v>
      </c>
      <c r="H91" s="81">
        <f>SUM(I90:$Q90)/H88</f>
        <v>2272.5785858585828</v>
      </c>
      <c r="I91" s="81">
        <f>SUM(J90:$Q90)/I88</f>
        <v>2363.481729292925</v>
      </c>
      <c r="J91" s="81">
        <f>SUM(K90:$Q90)/J88</f>
        <v>2458.020998464642</v>
      </c>
      <c r="K91" s="81">
        <f>SUM(L90:$Q90)/K88</f>
        <v>2556.3418384032275</v>
      </c>
      <c r="L91" s="81">
        <f>SUM(M90:$Q90)/L88</f>
        <v>2658.5955119393557</v>
      </c>
      <c r="M91" s="99">
        <f>SUM(N90:$Q90)/M88</f>
        <v>2764.93933241693</v>
      </c>
      <c r="N91" s="81">
        <f>SUM(O90:$Q90)/N88</f>
        <v>2875.5369057136068</v>
      </c>
      <c r="O91" s="81">
        <f>SUM(P90:$Q90)/O88</f>
        <v>2990.55838194215</v>
      </c>
      <c r="P91" s="81">
        <f>SUM(Q90:$Q90)/P88</f>
        <v>3110.180717219836</v>
      </c>
      <c r="Q91" s="81"/>
      <c r="R91" s="72"/>
      <c r="S91" s="72"/>
      <c r="T91" s="72"/>
      <c r="U91" s="72"/>
      <c r="V91" s="72"/>
      <c r="W91" s="72"/>
    </row>
    <row r="92" spans="1:17" ht="12" customHeight="1">
      <c r="A92" s="17">
        <v>18</v>
      </c>
      <c r="C92" s="92" t="s">
        <v>82</v>
      </c>
      <c r="D92" s="71">
        <f>D91</f>
        <v>1413.8852066655918</v>
      </c>
      <c r="E92" s="71">
        <f aca="true" t="shared" si="52" ref="E92:P92">D92*(1+D87)-E89</f>
        <v>1643.7235970786842</v>
      </c>
      <c r="F92" s="71">
        <f t="shared" si="52"/>
        <v>1909.9996762546566</v>
      </c>
      <c r="G92" s="104">
        <f t="shared" si="52"/>
        <v>2185.1717171717146</v>
      </c>
      <c r="H92" s="71">
        <f t="shared" si="52"/>
        <v>2272.578585858583</v>
      </c>
      <c r="I92" s="71">
        <f t="shared" si="52"/>
        <v>2363.481729292926</v>
      </c>
      <c r="J92" s="71">
        <f t="shared" si="52"/>
        <v>2458.020998464643</v>
      </c>
      <c r="K92" s="71">
        <f t="shared" si="52"/>
        <v>2556.3418384032284</v>
      </c>
      <c r="L92" s="71">
        <f t="shared" si="52"/>
        <v>2658.5955119393566</v>
      </c>
      <c r="M92" s="104">
        <f t="shared" si="52"/>
        <v>2764.9393324169314</v>
      </c>
      <c r="N92" s="71">
        <f t="shared" si="52"/>
        <v>2875.536905713608</v>
      </c>
      <c r="O92" s="71">
        <f t="shared" si="52"/>
        <v>2990.558381942151</v>
      </c>
      <c r="P92" s="71">
        <f t="shared" si="52"/>
        <v>3110.180717219837</v>
      </c>
      <c r="Q92" s="71"/>
    </row>
    <row r="93" spans="1:13" ht="9" customHeight="1">
      <c r="A93" s="17"/>
      <c r="D93" s="44"/>
      <c r="E93" s="5"/>
      <c r="M93" s="33"/>
    </row>
    <row r="94" spans="1:23" s="7" customFormat="1" ht="12" customHeight="1">
      <c r="A94" s="17">
        <v>19</v>
      </c>
      <c r="C94" s="7" t="s">
        <v>4</v>
      </c>
      <c r="D94" s="52">
        <f>(D92*D87+D75*D77-D71*D76*E40)/(D92+D75)</f>
        <v>0.15</v>
      </c>
      <c r="E94" s="52">
        <f>(E92*E87+E75*E77-E71*E76*F40)/(E92+E75)</f>
        <v>0.14191682325624214</v>
      </c>
      <c r="F94" s="52">
        <f>(F92*F87+F75*F77-F71*F76*$F1)/(F92+F75)</f>
        <v>0.12984112147381166</v>
      </c>
      <c r="G94" s="139">
        <f>(G92*G87+G75*G77-G71*G76*$F1)/(G92+G75)</f>
        <v>0.13322943678704188</v>
      </c>
      <c r="H94" s="52">
        <f>(H92*H87+H75*H77-H71*H76*$F1)/(H92+H75)</f>
        <v>0.13322943678704188</v>
      </c>
      <c r="I94" s="52">
        <f>(I92*I87+I75*I77-I71*I76*$F1)/(I92+I75)</f>
        <v>0.13322943678704188</v>
      </c>
      <c r="J94" s="52">
        <f>(J92*J87+J75*J77-J71*J76*$F1)/(J92+J75)</f>
        <v>0.13322943678704188</v>
      </c>
      <c r="K94" s="52">
        <f>(K92*K87+K75*K77-K71*K76*$F1)/(K92+K75)</f>
        <v>0.13322943678704185</v>
      </c>
      <c r="L94" s="52">
        <f>(L92*L87+L75*L77-L71*L76*$F1)/(L92+L75)</f>
        <v>0.13322943678704188</v>
      </c>
      <c r="M94" s="52">
        <f>(M92*M87+M75*M77-M71*M76*$F1)/(M92+M75)</f>
        <v>0.13322943678704185</v>
      </c>
      <c r="N94" s="52">
        <f>(N92*N87+N75*N77-N71*N76*$F1)/(N92+N75)</f>
        <v>0.13322943678704188</v>
      </c>
      <c r="O94" s="52">
        <f>(O92*O87+O75*O77-O71*O76*$F1)/(O92+O75)</f>
        <v>0.13322943678704185</v>
      </c>
      <c r="P94" s="52">
        <f>(P92*P87+P75*P77-P71*P76*$F1)/(P92+P75)</f>
        <v>0.13322943678704188</v>
      </c>
      <c r="Q94" s="52">
        <f>P94</f>
        <v>0.13322943678704188</v>
      </c>
      <c r="R94" s="59"/>
      <c r="S94" s="59"/>
      <c r="T94" s="59"/>
      <c r="U94" s="59"/>
      <c r="V94" s="59"/>
      <c r="W94" s="59"/>
    </row>
    <row r="95" spans="1:17" ht="12" customHeight="1" hidden="1">
      <c r="A95" s="17"/>
      <c r="C95" s="22" t="s">
        <v>83</v>
      </c>
      <c r="D95" s="12">
        <v>1</v>
      </c>
      <c r="E95" s="12">
        <f>1/(1+D94)</f>
        <v>0.8695652173913044</v>
      </c>
      <c r="F95" s="12">
        <f aca="true" t="shared" si="53" ref="F95:O95">E95/(1+E94)</f>
        <v>0.7614961087198003</v>
      </c>
      <c r="G95" s="102">
        <f t="shared" si="53"/>
        <v>0.6739851243212613</v>
      </c>
      <c r="H95" s="12">
        <f t="shared" si="53"/>
        <v>0.594747279273083</v>
      </c>
      <c r="I95" s="12">
        <f t="shared" si="53"/>
        <v>0.524825123638973</v>
      </c>
      <c r="J95" s="12">
        <f t="shared" si="53"/>
        <v>0.4631234475579537</v>
      </c>
      <c r="K95" s="12">
        <f t="shared" si="53"/>
        <v>0.4086758007901841</v>
      </c>
      <c r="L95" s="12">
        <f t="shared" si="53"/>
        <v>0.3606293549423417</v>
      </c>
      <c r="M95" s="102">
        <f t="shared" si="53"/>
        <v>0.3182315453830835</v>
      </c>
      <c r="N95" s="12">
        <f t="shared" si="53"/>
        <v>0.2808182836172531</v>
      </c>
      <c r="O95" s="12">
        <f t="shared" si="53"/>
        <v>0.24780355548602367</v>
      </c>
      <c r="P95" s="12">
        <f>O95/(1+O94)</f>
        <v>0.21867024226673992</v>
      </c>
      <c r="Q95" s="12">
        <f>P95/(1+P94)</f>
        <v>0.1929620209008326</v>
      </c>
    </row>
    <row r="96" spans="1:17" ht="12" customHeight="1" hidden="1">
      <c r="A96" s="48"/>
      <c r="B96" s="45"/>
      <c r="C96" s="45" t="s">
        <v>56</v>
      </c>
      <c r="D96" s="45"/>
      <c r="E96" s="45">
        <f aca="true" t="shared" si="54" ref="E96:P96">E51</f>
        <v>-130</v>
      </c>
      <c r="F96" s="45">
        <f t="shared" si="54"/>
        <v>100</v>
      </c>
      <c r="G96" s="103">
        <f t="shared" si="54"/>
        <v>306.80000000000007</v>
      </c>
      <c r="H96" s="45">
        <f t="shared" si="54"/>
        <v>294.88000000000005</v>
      </c>
      <c r="I96" s="45">
        <f t="shared" si="54"/>
        <v>306.67520000000025</v>
      </c>
      <c r="J96" s="45">
        <f t="shared" si="54"/>
        <v>318.9422079999997</v>
      </c>
      <c r="K96" s="45">
        <f t="shared" si="54"/>
        <v>331.6998963199998</v>
      </c>
      <c r="L96" s="45">
        <f t="shared" si="54"/>
        <v>344.9678921728004</v>
      </c>
      <c r="M96" s="103">
        <f t="shared" si="54"/>
        <v>358.76660785971126</v>
      </c>
      <c r="N96" s="45">
        <f t="shared" si="54"/>
        <v>373.1172721741003</v>
      </c>
      <c r="O96" s="45">
        <f t="shared" si="54"/>
        <v>388.04196306106553</v>
      </c>
      <c r="P96" s="45">
        <f t="shared" si="54"/>
        <v>403.56364158350607</v>
      </c>
      <c r="Q96" s="1">
        <f>P96*(1+O$8)+P96*(1+O$8)*(1+O$8)/(P94-O$8)</f>
        <v>5101.644100631188</v>
      </c>
    </row>
    <row r="97" spans="1:17" ht="12" customHeight="1" hidden="1">
      <c r="A97" s="17"/>
      <c r="C97" s="22" t="s">
        <v>65</v>
      </c>
      <c r="D97" s="1"/>
      <c r="E97" s="1">
        <f aca="true" t="shared" si="55" ref="E97:N97">E96*E95</f>
        <v>-113.04347826086958</v>
      </c>
      <c r="F97" s="1">
        <f t="shared" si="55"/>
        <v>76.14961087198003</v>
      </c>
      <c r="G97" s="31">
        <f t="shared" si="55"/>
        <v>206.77863614176303</v>
      </c>
      <c r="H97" s="1">
        <f t="shared" si="55"/>
        <v>175.37907771204675</v>
      </c>
      <c r="I97" s="1">
        <f t="shared" si="55"/>
        <v>160.95084975700692</v>
      </c>
      <c r="J97" s="1">
        <f t="shared" si="55"/>
        <v>147.70961494070582</v>
      </c>
      <c r="K97" s="1">
        <f t="shared" si="55"/>
        <v>135.55772075059699</v>
      </c>
      <c r="L97" s="1">
        <f t="shared" si="55"/>
        <v>124.4055484300963</v>
      </c>
      <c r="M97" s="31">
        <f t="shared" si="55"/>
        <v>114.17085205104263</v>
      </c>
      <c r="N97" s="1">
        <f t="shared" si="55"/>
        <v>104.77815195988232</v>
      </c>
      <c r="O97" s="1">
        <f>O96*O95</f>
        <v>96.15817812430831</v>
      </c>
      <c r="P97" s="1">
        <f>P96*P95</f>
        <v>88.24735927511307</v>
      </c>
      <c r="Q97" s="1">
        <f>Q96*Q95</f>
        <v>984.4235555746045</v>
      </c>
    </row>
    <row r="98" spans="1:17" ht="12" customHeight="1">
      <c r="A98" s="17">
        <v>20</v>
      </c>
      <c r="B98" s="4" t="s">
        <v>84</v>
      </c>
      <c r="C98" s="45" t="s">
        <v>85</v>
      </c>
      <c r="D98" s="19">
        <f>SUM(E97:$Q97)/D95</f>
        <v>2301.665677328277</v>
      </c>
      <c r="E98" s="19">
        <f>SUM(F97:$Q97)/E95</f>
        <v>2776.915528927518</v>
      </c>
      <c r="F98" s="19">
        <f>SUM(G97:$Q97)/F95</f>
        <v>3071.006559243839</v>
      </c>
      <c r="G98" s="95">
        <f>SUM(H97:$Q97)/G95</f>
        <v>3162.949494949491</v>
      </c>
      <c r="H98" s="19">
        <f>SUM(I97:$Q97)/H95</f>
        <v>3289.46747474747</v>
      </c>
      <c r="I98" s="19">
        <f>SUM(J97:$Q97)/I95</f>
        <v>3421.046173737368</v>
      </c>
      <c r="J98" s="19">
        <f>SUM(K97:$Q97)/J95</f>
        <v>3557.888020686863</v>
      </c>
      <c r="K98" s="19">
        <f>SUM(L97:$Q97)/K95</f>
        <v>3700.2035415143373</v>
      </c>
      <c r="L98" s="19">
        <f>SUM(M97:$Q97)/L95</f>
        <v>3848.2116831749104</v>
      </c>
      <c r="M98" s="95">
        <f>SUM(N97:$Q97)/M95</f>
        <v>4002.140150501906</v>
      </c>
      <c r="N98" s="19">
        <f>SUM(O97:$Q97)/N95</f>
        <v>4162.2257565219825</v>
      </c>
      <c r="O98" s="19">
        <f>SUM(P97:$Q97)/O95</f>
        <v>4328.71478678286</v>
      </c>
      <c r="P98" s="19">
        <f>SUM(Q97:$Q97)/P95</f>
        <v>4501.863378254175</v>
      </c>
      <c r="Q98" s="19"/>
    </row>
    <row r="99" spans="1:23" s="68" customFormat="1" ht="12.75" customHeight="1" thickBot="1">
      <c r="A99" s="67">
        <v>21</v>
      </c>
      <c r="B99" s="68" t="s">
        <v>75</v>
      </c>
      <c r="C99" s="80" t="s">
        <v>86</v>
      </c>
      <c r="D99" s="81">
        <f>D98-D75</f>
        <v>1413.8852066655907</v>
      </c>
      <c r="E99" s="81">
        <f>E98-E75</f>
        <v>1643.7235970786828</v>
      </c>
      <c r="F99" s="81">
        <f>F98-F75</f>
        <v>1909.9996762546552</v>
      </c>
      <c r="G99" s="99">
        <f>G98-G75</f>
        <v>2185.171717171713</v>
      </c>
      <c r="H99" s="81">
        <f>H98-H75</f>
        <v>2272.5785858585814</v>
      </c>
      <c r="I99" s="81">
        <f>I98-I75</f>
        <v>2363.481729292924</v>
      </c>
      <c r="J99" s="81">
        <f>J98-J75</f>
        <v>2458.0209984646413</v>
      </c>
      <c r="K99" s="81">
        <f>K98-K75</f>
        <v>2556.3418384032266</v>
      </c>
      <c r="L99" s="81">
        <f>L98-L75</f>
        <v>2658.595511939355</v>
      </c>
      <c r="M99" s="99">
        <f>M98-M75</f>
        <v>2764.9393324169287</v>
      </c>
      <c r="N99" s="81">
        <f>N98-N75</f>
        <v>2875.536905713606</v>
      </c>
      <c r="O99" s="81">
        <f>O98-O75</f>
        <v>2990.558381942148</v>
      </c>
      <c r="P99" s="81">
        <f>P98-P75</f>
        <v>3110.180717219835</v>
      </c>
      <c r="Q99" s="109"/>
      <c r="R99" s="72"/>
      <c r="S99" s="72"/>
      <c r="T99" s="72"/>
      <c r="U99" s="72"/>
      <c r="V99" s="72"/>
      <c r="W99" s="72"/>
    </row>
    <row r="100" spans="1:17" ht="12.75" customHeight="1">
      <c r="A100" s="17">
        <v>22</v>
      </c>
      <c r="C100" s="75" t="s">
        <v>87</v>
      </c>
      <c r="D100" s="73">
        <f>D98</f>
        <v>2301.665677328277</v>
      </c>
      <c r="E100" s="73">
        <f>D100*(1+D94)-E51</f>
        <v>2776.9155289275186</v>
      </c>
      <c r="F100" s="73">
        <f>E100*(1+E94)-F51</f>
        <v>3071.0065592438395</v>
      </c>
      <c r="G100" s="31">
        <f>F100*(1+F94)-G51</f>
        <v>3162.9494949494915</v>
      </c>
      <c r="H100" s="73">
        <f>G100*(1+G94)-H51</f>
        <v>3289.467474747471</v>
      </c>
      <c r="I100" s="73">
        <f>H100*(1+H94)-I51</f>
        <v>3421.0461737373694</v>
      </c>
      <c r="J100" s="73">
        <f>I100*(1+I94)-J51</f>
        <v>3557.8880206868644</v>
      </c>
      <c r="K100" s="73">
        <f>J100*(1+J94)-K51</f>
        <v>3700.2035415143387</v>
      </c>
      <c r="L100" s="73">
        <f>K100*(1+K94)-L51</f>
        <v>3848.2116831749113</v>
      </c>
      <c r="M100" s="31">
        <f>L100*(1+L94)-M51</f>
        <v>4002.1401505019085</v>
      </c>
      <c r="N100" s="73">
        <f>M100*(1+M94)-N51</f>
        <v>4162.225756521984</v>
      </c>
      <c r="O100" s="73">
        <f>N100*(1+N94)-O51</f>
        <v>4328.714786782862</v>
      </c>
      <c r="P100" s="73">
        <f>O100*(1+O94)-P51</f>
        <v>4501.8633782541765</v>
      </c>
      <c r="Q100" s="91"/>
    </row>
    <row r="101" spans="1:17" ht="6.75" customHeight="1">
      <c r="A101" s="17"/>
      <c r="C101" s="6"/>
      <c r="D101" s="6"/>
      <c r="E101" s="47"/>
      <c r="F101" s="47"/>
      <c r="G101" s="32"/>
      <c r="H101" s="47"/>
      <c r="I101" s="47"/>
      <c r="J101" s="47"/>
      <c r="K101" s="47"/>
      <c r="L101" s="47"/>
      <c r="M101" s="32"/>
      <c r="N101" s="47"/>
      <c r="O101" s="47"/>
      <c r="P101" s="47"/>
      <c r="Q101" s="47"/>
    </row>
    <row r="102" spans="1:23" s="7" customFormat="1" ht="12" customHeight="1">
      <c r="A102" s="17">
        <v>23</v>
      </c>
      <c r="C102" s="7" t="s">
        <v>88</v>
      </c>
      <c r="D102" s="52">
        <f>(D75*D77+D83*D87)/(D75+D83)</f>
        <v>0.15000000000000002</v>
      </c>
      <c r="E102" s="52">
        <f>(E75*E77+E83*E87)/(E75+E83)</f>
        <v>0.14893900300815244</v>
      </c>
      <c r="F102" s="52">
        <f>(F75*F77+F83*F87)/(F75+F83)</f>
        <v>0.1473536207024822</v>
      </c>
      <c r="G102" s="139">
        <f>(G75*G77+G83*G87)/(G75+G83)</f>
        <v>0.1478360563596183</v>
      </c>
      <c r="H102" s="52">
        <f>(H75*H77+H83*H87)/(H75+H83)</f>
        <v>0.14783605635961833</v>
      </c>
      <c r="I102" s="52">
        <f>(I75*I77+I83*I87)/(I75+I83)</f>
        <v>0.1478360563596183</v>
      </c>
      <c r="J102" s="52">
        <f>(J75*J77+J83*J87)/(J75+J83)</f>
        <v>0.1478360563596183</v>
      </c>
      <c r="K102" s="52">
        <f>(K75*K77+K83*K87)/(K75+K83)</f>
        <v>0.14783605635961833</v>
      </c>
      <c r="L102" s="52">
        <f>(L75*L77+L83*L87)/(L75+L83)</f>
        <v>0.14783605635961833</v>
      </c>
      <c r="M102" s="139">
        <f>(M75*M77+M83*M87)/(M75+M83)</f>
        <v>0.1478360563596183</v>
      </c>
      <c r="N102" s="52">
        <f>(N75*N77+N83*N87)/(N75+N83)</f>
        <v>0.14783605635961833</v>
      </c>
      <c r="O102" s="52">
        <f>(O75*O77+O83*O87)/(O75+O83)</f>
        <v>0.1478360563596183</v>
      </c>
      <c r="P102" s="52">
        <f>(P75*P77+P83*P87)/(P75+P83)</f>
        <v>0.14783605635961833</v>
      </c>
      <c r="Q102" s="52">
        <f>P102</f>
        <v>0.14783605635961833</v>
      </c>
      <c r="R102" s="59"/>
      <c r="S102" s="59"/>
      <c r="T102" s="59"/>
      <c r="U102" s="59"/>
      <c r="V102" s="59"/>
      <c r="W102" s="59"/>
    </row>
    <row r="103" spans="1:17" ht="12" customHeight="1" hidden="1">
      <c r="A103" s="17"/>
      <c r="C103" s="22" t="s">
        <v>89</v>
      </c>
      <c r="D103" s="12">
        <v>1</v>
      </c>
      <c r="E103" s="12">
        <f>1/(1+D102)</f>
        <v>0.8695652173913044</v>
      </c>
      <c r="F103" s="12">
        <f aca="true" t="shared" si="56" ref="F103:Q103">E103/(1+E102)</f>
        <v>0.7568419342668398</v>
      </c>
      <c r="G103" s="102">
        <f t="shared" si="56"/>
        <v>0.659641387459477</v>
      </c>
      <c r="H103" s="12">
        <f t="shared" si="56"/>
        <v>0.5746825810225381</v>
      </c>
      <c r="I103" s="12">
        <f t="shared" si="56"/>
        <v>0.5006660819186616</v>
      </c>
      <c r="J103" s="12">
        <f t="shared" si="56"/>
        <v>0.43618257079894546</v>
      </c>
      <c r="K103" s="12">
        <f t="shared" si="56"/>
        <v>0.38000424222802853</v>
      </c>
      <c r="L103" s="12">
        <f t="shared" si="56"/>
        <v>0.3310614265187125</v>
      </c>
      <c r="M103" s="102">
        <f t="shared" si="56"/>
        <v>0.2884222225678112</v>
      </c>
      <c r="N103" s="12">
        <f t="shared" si="56"/>
        <v>0.2512747538899825</v>
      </c>
      <c r="O103" s="12">
        <f t="shared" si="56"/>
        <v>0.21891170999358972</v>
      </c>
      <c r="P103" s="12">
        <f t="shared" si="56"/>
        <v>0.19071687875694718</v>
      </c>
      <c r="Q103" s="12">
        <f t="shared" si="56"/>
        <v>0.16615341337316847</v>
      </c>
    </row>
    <row r="104" spans="1:17" ht="12" customHeight="1" hidden="1">
      <c r="A104" s="48"/>
      <c r="B104" s="45"/>
      <c r="C104" s="45" t="s">
        <v>58</v>
      </c>
      <c r="D104" s="45"/>
      <c r="E104" s="24">
        <f aca="true" t="shared" si="57" ref="E104:P104">E53</f>
        <v>-130</v>
      </c>
      <c r="F104" s="24">
        <f t="shared" si="57"/>
        <v>119.5</v>
      </c>
      <c r="G104" s="105">
        <f t="shared" si="57"/>
        <v>360.581</v>
      </c>
      <c r="H104" s="24">
        <f t="shared" si="57"/>
        <v>341.08000000000004</v>
      </c>
      <c r="I104" s="24">
        <f t="shared" si="57"/>
        <v>354.72320000000025</v>
      </c>
      <c r="J104" s="24">
        <f t="shared" si="57"/>
        <v>368.9121279999997</v>
      </c>
      <c r="K104" s="24">
        <f t="shared" si="57"/>
        <v>383.6686131199998</v>
      </c>
      <c r="L104" s="24">
        <f t="shared" si="57"/>
        <v>399.0153576448004</v>
      </c>
      <c r="M104" s="105">
        <f t="shared" si="57"/>
        <v>414.9759719505912</v>
      </c>
      <c r="N104" s="24">
        <f t="shared" si="57"/>
        <v>431.5750108286155</v>
      </c>
      <c r="O104" s="24">
        <f t="shared" si="57"/>
        <v>448.8380112617614</v>
      </c>
      <c r="P104" s="24">
        <f t="shared" si="57"/>
        <v>466.7915317122297</v>
      </c>
      <c r="Q104" s="1">
        <f>P104*(1+O$8)+P104*(1+O$8)*(1+O$8)/(P102-O$8)</f>
        <v>5167.401106365061</v>
      </c>
    </row>
    <row r="105" spans="1:17" ht="12" customHeight="1" hidden="1">
      <c r="A105" s="17"/>
      <c r="C105" s="22" t="s">
        <v>90</v>
      </c>
      <c r="D105" s="1"/>
      <c r="E105" s="1">
        <f aca="true" t="shared" si="58" ref="E105:Q105">E104*E103</f>
        <v>-113.04347826086958</v>
      </c>
      <c r="F105" s="1">
        <f t="shared" si="58"/>
        <v>90.44261114488735</v>
      </c>
      <c r="G105" s="31">
        <f t="shared" si="58"/>
        <v>237.85415113152567</v>
      </c>
      <c r="H105" s="1">
        <f t="shared" si="58"/>
        <v>196.01273473516733</v>
      </c>
      <c r="I105" s="1">
        <f t="shared" si="58"/>
        <v>177.5978747096499</v>
      </c>
      <c r="J105" s="1">
        <f t="shared" si="58"/>
        <v>160.91304038994951</v>
      </c>
      <c r="K105" s="1">
        <f t="shared" si="58"/>
        <v>145.79570059534416</v>
      </c>
      <c r="L105" s="1">
        <f t="shared" si="58"/>
        <v>132.09859350476188</v>
      </c>
      <c r="M105" s="31">
        <f t="shared" si="58"/>
        <v>119.68829214222718</v>
      </c>
      <c r="N105" s="1">
        <f t="shared" si="58"/>
        <v>108.4439046310269</v>
      </c>
      <c r="O105" s="1">
        <f t="shared" si="58"/>
        <v>98.25589655543426</v>
      </c>
      <c r="P105" s="1">
        <f t="shared" si="58"/>
        <v>89.02502395833098</v>
      </c>
      <c r="Q105" s="1">
        <f t="shared" si="58"/>
        <v>858.5813320908421</v>
      </c>
    </row>
    <row r="106" spans="1:17" ht="12" customHeight="1">
      <c r="A106" s="17">
        <v>24</v>
      </c>
      <c r="B106" s="4" t="s">
        <v>84</v>
      </c>
      <c r="C106" s="45" t="s">
        <v>91</v>
      </c>
      <c r="D106" s="19">
        <f>SUM(E105:$Q105)/D103</f>
        <v>2301.665677328278</v>
      </c>
      <c r="E106" s="19">
        <f>SUM(F105:$Q105)/E103</f>
        <v>2776.9155289275195</v>
      </c>
      <c r="F106" s="19">
        <f>SUM(G105:$Q105)/F103</f>
        <v>3071.00655924384</v>
      </c>
      <c r="G106" s="95">
        <f>SUM(H105:$Q105)/G103</f>
        <v>3162.949494949491</v>
      </c>
      <c r="H106" s="19">
        <f>SUM(I105:$Q105)/H103</f>
        <v>3289.46747474747</v>
      </c>
      <c r="I106" s="19">
        <f>SUM(J105:$Q105)/I103</f>
        <v>3421.0461737373685</v>
      </c>
      <c r="J106" s="19">
        <f>SUM(K105:$Q105)/J103</f>
        <v>3557.8880206868625</v>
      </c>
      <c r="K106" s="19">
        <f>SUM(L105:$Q105)/K103</f>
        <v>3700.2035415143373</v>
      </c>
      <c r="L106" s="19">
        <f>SUM(M105:$Q105)/L103</f>
        <v>3848.21168317491</v>
      </c>
      <c r="M106" s="95">
        <f>SUM(N105:$Q105)/M103</f>
        <v>4002.140150501906</v>
      </c>
      <c r="N106" s="19">
        <f>SUM(O105:$Q105)/N103</f>
        <v>4162.2257565219825</v>
      </c>
      <c r="O106" s="19">
        <f>SUM(P105:$Q105)/O103</f>
        <v>4328.714786782861</v>
      </c>
      <c r="P106" s="19">
        <f>SUM(Q105:$Q105)/P103</f>
        <v>4501.863378254175</v>
      </c>
      <c r="Q106" s="19"/>
    </row>
    <row r="107" spans="1:23" s="68" customFormat="1" ht="12.75" customHeight="1" thickBot="1">
      <c r="A107" s="67">
        <v>25</v>
      </c>
      <c r="B107" s="68" t="s">
        <v>75</v>
      </c>
      <c r="C107" s="80" t="s">
        <v>92</v>
      </c>
      <c r="D107" s="81">
        <f>D106-D75</f>
        <v>1413.8852066655916</v>
      </c>
      <c r="E107" s="81">
        <f>E106-E75</f>
        <v>1643.7235970786842</v>
      </c>
      <c r="F107" s="81">
        <f>F106-F75</f>
        <v>1909.9996762546562</v>
      </c>
      <c r="G107" s="99">
        <f>G106-G75</f>
        <v>2185.171717171713</v>
      </c>
      <c r="H107" s="81">
        <f>H106-H75</f>
        <v>2272.5785858585814</v>
      </c>
      <c r="I107" s="81">
        <f>I106-I75</f>
        <v>2363.4817292929242</v>
      </c>
      <c r="J107" s="81">
        <f>J106-J75</f>
        <v>2458.020998464641</v>
      </c>
      <c r="K107" s="81">
        <f>K106-K75</f>
        <v>2556.3418384032266</v>
      </c>
      <c r="L107" s="81">
        <f>L106-L75</f>
        <v>2658.5955119393548</v>
      </c>
      <c r="M107" s="99">
        <f>M106-M75</f>
        <v>2764.9393324169287</v>
      </c>
      <c r="N107" s="81">
        <f>N106-N75</f>
        <v>2875.536905713606</v>
      </c>
      <c r="O107" s="81">
        <f>O106-O75</f>
        <v>2990.558381942149</v>
      </c>
      <c r="P107" s="81">
        <f>P106-P75</f>
        <v>3110.180717219835</v>
      </c>
      <c r="Q107" s="109"/>
      <c r="R107" s="72"/>
      <c r="S107" s="72"/>
      <c r="T107" s="72"/>
      <c r="U107" s="72"/>
      <c r="V107" s="72"/>
      <c r="W107" s="72"/>
    </row>
    <row r="108" spans="1:17" ht="7.5" customHeight="1">
      <c r="A108" s="17"/>
      <c r="D108" s="43"/>
      <c r="E108" s="43"/>
      <c r="F108" s="43"/>
      <c r="G108" s="35"/>
      <c r="H108" s="43"/>
      <c r="I108" s="43"/>
      <c r="J108" s="23"/>
      <c r="K108" s="23"/>
      <c r="L108" s="23"/>
      <c r="M108" s="27"/>
      <c r="N108" s="23"/>
      <c r="O108" s="23"/>
      <c r="P108" s="23"/>
      <c r="Q108" s="23"/>
    </row>
    <row r="109" spans="1:17" ht="12.75" customHeight="1">
      <c r="A109" s="17">
        <v>26</v>
      </c>
      <c r="C109" s="163" t="s">
        <v>93</v>
      </c>
      <c r="D109" s="73"/>
      <c r="E109" s="73">
        <f>E39-D22*D87</f>
        <v>-382.5580275750443</v>
      </c>
      <c r="F109" s="73">
        <f>F39-E22*E87</f>
        <v>178.1433898458439</v>
      </c>
      <c r="G109" s="31">
        <f>G39-F22*F87</f>
        <v>100.67612653702639</v>
      </c>
      <c r="H109" s="73">
        <f>H39-G22*G87</f>
        <v>99.043409943975</v>
      </c>
      <c r="I109" s="73">
        <f>I39-H22*H87</f>
        <v>103.00514634173402</v>
      </c>
      <c r="J109" s="73">
        <f>J39-I22*I87</f>
        <v>107.1253521954034</v>
      </c>
      <c r="K109" s="73">
        <f>K39-J22*J87</f>
        <v>111.41036628321964</v>
      </c>
      <c r="L109" s="73">
        <f>L39-K22*K87</f>
        <v>115.86678093454833</v>
      </c>
      <c r="M109" s="31">
        <f>M39-L22*L87</f>
        <v>120.50145217193037</v>
      </c>
      <c r="N109" s="73">
        <f>N39-M22*M87</f>
        <v>125.3215102588075</v>
      </c>
      <c r="O109" s="73">
        <f>O39-N22*N87</f>
        <v>130.33437066915957</v>
      </c>
      <c r="P109" s="73">
        <f>P39-O22*O87</f>
        <v>135.5477454959261</v>
      </c>
      <c r="Q109" s="1">
        <f>P109*(1+O$8)+P109*(1+O$8)*(1+O$8)/(P87-O$8)</f>
        <v>1406.832702283004</v>
      </c>
    </row>
    <row r="110" spans="1:20" s="45" customFormat="1" ht="12" customHeight="1">
      <c r="A110" s="48">
        <v>27</v>
      </c>
      <c r="C110" s="42" t="s">
        <v>7</v>
      </c>
      <c r="D110" s="19"/>
      <c r="E110" s="19">
        <f>E39+E35*(1-E40)-(D21+D22)*D94</f>
        <v>-400</v>
      </c>
      <c r="F110" s="19">
        <f>F39+F35*(1-F40)-(E21+E22)*E94</f>
        <v>146.90884878982848</v>
      </c>
      <c r="G110" s="95">
        <f>G39+G35*(1-$F$1)-(F21+F22)*F94</f>
        <v>64.7257477144355</v>
      </c>
      <c r="H110" s="19">
        <f>H39+H35*(1-$F$1)-(G21+G22)*G94</f>
        <v>68.33246860748824</v>
      </c>
      <c r="I110" s="19">
        <f>I39+I35*(1-$F$1)-(H21+H22)*H94</f>
        <v>71.06576735178777</v>
      </c>
      <c r="J110" s="19">
        <f>J39+J35*(1-$F$1)-(I21+I22)*I94</f>
        <v>73.90839804585926</v>
      </c>
      <c r="K110" s="19">
        <f>K39+K35*(1-$F$1)-(J21+J22)*J94</f>
        <v>76.86473396769378</v>
      </c>
      <c r="L110" s="19">
        <f>L39+L35*(1-$F$1)-(K21+K22)*K94</f>
        <v>79.93932332640156</v>
      </c>
      <c r="M110" s="95">
        <f>M39+M35*(1-$F$1)-(L21+L22)*L94</f>
        <v>83.13689625945767</v>
      </c>
      <c r="N110" s="19">
        <f>N39+N35*(1-$F$1)-(M21+M22)*M94</f>
        <v>86.46237210983594</v>
      </c>
      <c r="O110" s="19">
        <f>O39+O35*(1-$F$1)-(N21+N22)*N94</f>
        <v>89.92086699422907</v>
      </c>
      <c r="P110" s="19">
        <f>P39+P35*(1-$F$1)-(O21+O22)*O94</f>
        <v>93.51770167399843</v>
      </c>
      <c r="Q110" s="39"/>
      <c r="R110" s="72"/>
      <c r="S110" s="72"/>
      <c r="T110" s="72"/>
    </row>
    <row r="111" spans="1:17" ht="12.75" customHeight="1" hidden="1">
      <c r="A111" s="17"/>
      <c r="C111" s="59"/>
      <c r="D111" s="73"/>
      <c r="E111" s="73"/>
      <c r="F111" s="73"/>
      <c r="G111" s="31"/>
      <c r="H111" s="73"/>
      <c r="I111" s="73"/>
      <c r="J111" s="73"/>
      <c r="K111" s="73"/>
      <c r="L111" s="73"/>
      <c r="M111" s="31"/>
      <c r="N111" s="73"/>
      <c r="O111" s="73"/>
      <c r="P111" s="73"/>
      <c r="Q111" s="74"/>
    </row>
    <row r="112" spans="1:17" ht="12.75" customHeight="1" hidden="1">
      <c r="A112" s="17"/>
      <c r="C112" s="22" t="s">
        <v>79</v>
      </c>
      <c r="D112" s="73"/>
      <c r="E112" s="73">
        <f aca="true" t="shared" si="59" ref="E112:P112">E88</f>
        <v>0.8601721172455188</v>
      </c>
      <c r="F112" s="73">
        <f t="shared" si="59"/>
        <v>0.7402541603766645</v>
      </c>
      <c r="G112" s="31">
        <f t="shared" si="59"/>
        <v>0.6393063224017723</v>
      </c>
      <c r="H112" s="73">
        <f t="shared" si="59"/>
        <v>0.5531207195395789</v>
      </c>
      <c r="I112" s="73">
        <f t="shared" si="59"/>
        <v>0.47855389453150404</v>
      </c>
      <c r="J112" s="73">
        <f t="shared" si="59"/>
        <v>0.4140395068944487</v>
      </c>
      <c r="K112" s="73">
        <f t="shared" si="59"/>
        <v>0.3582223762638562</v>
      </c>
      <c r="L112" s="73">
        <f t="shared" si="59"/>
        <v>0.3099300156611319</v>
      </c>
      <c r="M112" s="31">
        <f t="shared" si="59"/>
        <v>0.26814800239323106</v>
      </c>
      <c r="N112" s="73">
        <f t="shared" si="59"/>
        <v>0.23199866922891782</v>
      </c>
      <c r="O112" s="73">
        <f t="shared" si="59"/>
        <v>0.20072266824146776</v>
      </c>
      <c r="P112" s="73">
        <f t="shared" si="59"/>
        <v>0.1736630200504287</v>
      </c>
      <c r="Q112" s="76">
        <f>P112/(1+$P87)</f>
        <v>0.15025131340300216</v>
      </c>
    </row>
    <row r="113" spans="1:17" ht="12.75" customHeight="1" hidden="1">
      <c r="A113" s="17"/>
      <c r="C113" s="22" t="s">
        <v>94</v>
      </c>
      <c r="D113" s="1"/>
      <c r="E113" s="1">
        <f>E109*E112</f>
        <v>-329.06574854849543</v>
      </c>
      <c r="F113" s="1">
        <f aca="true" t="shared" si="60" ref="F113:Q113">F109*F112</f>
        <v>131.871385476988</v>
      </c>
      <c r="G113" s="31">
        <f t="shared" si="60"/>
        <v>64.36288421004183</v>
      </c>
      <c r="H113" s="1">
        <f t="shared" si="60"/>
        <v>54.78296217386494</v>
      </c>
      <c r="I113" s="1">
        <f t="shared" si="60"/>
        <v>49.29351393862432</v>
      </c>
      <c r="J113" s="1">
        <f t="shared" si="60"/>
        <v>44.354127998878965</v>
      </c>
      <c r="K113" s="1">
        <f t="shared" si="60"/>
        <v>39.90968615040155</v>
      </c>
      <c r="L113" s="1">
        <f t="shared" si="60"/>
        <v>35.9105932296495</v>
      </c>
      <c r="M113" s="31">
        <f t="shared" si="60"/>
        <v>32.3122236853866</v>
      </c>
      <c r="N113" s="1">
        <f t="shared" si="60"/>
        <v>29.074423605801513</v>
      </c>
      <c r="O113" s="1">
        <f t="shared" si="60"/>
        <v>26.1610626442862</v>
      </c>
      <c r="P113" s="1">
        <f t="shared" si="60"/>
        <v>23.53963084384942</v>
      </c>
      <c r="Q113" s="1">
        <f t="shared" si="60"/>
        <v>211.37846125631606</v>
      </c>
    </row>
    <row r="114" spans="1:17" ht="10.5" customHeight="1">
      <c r="A114" s="17">
        <v>28</v>
      </c>
      <c r="C114" s="45" t="s">
        <v>95</v>
      </c>
      <c r="D114" s="19">
        <f>SUM(E113:$Q113)/D88</f>
        <v>413.88520666559344</v>
      </c>
      <c r="E114" s="19">
        <f>SUM(F113:$Q113)/E88</f>
        <v>863.7235970786862</v>
      </c>
      <c r="F114" s="19">
        <f>SUM(G113:$Q113)/F88</f>
        <v>825.4996762546589</v>
      </c>
      <c r="G114" s="95">
        <f>SUM(H113:$Q113)/G88</f>
        <v>855.1717171717171</v>
      </c>
      <c r="H114" s="19">
        <f>SUM(I113:$Q113)/H88</f>
        <v>889.3785858585858</v>
      </c>
      <c r="I114" s="19">
        <f>SUM(J113:$Q113)/I88</f>
        <v>924.9537292929292</v>
      </c>
      <c r="J114" s="19">
        <f>SUM(K113:$Q113)/J88</f>
        <v>961.9518784646464</v>
      </c>
      <c r="K114" s="19">
        <f>SUM(L113:$Q113)/K88</f>
        <v>1000.4299536032322</v>
      </c>
      <c r="L114" s="19">
        <f>SUM(M113:$Q113)/L88</f>
        <v>1040.4471517473614</v>
      </c>
      <c r="M114" s="95">
        <f>SUM(N113:$Q113)/M88</f>
        <v>1082.065037817256</v>
      </c>
      <c r="N114" s="19">
        <f>SUM(O113:$Q113)/N88</f>
        <v>1125.347639329946</v>
      </c>
      <c r="O114" s="19">
        <f>SUM(P113:$Q113)/O88</f>
        <v>1170.361544903144</v>
      </c>
      <c r="P114" s="19">
        <f>SUM(Q113:$Q113)/P88</f>
        <v>1217.1760066992701</v>
      </c>
      <c r="Q114" s="74"/>
    </row>
    <row r="115" spans="1:23" s="68" customFormat="1" ht="12.75" customHeight="1" thickBot="1">
      <c r="A115" s="67">
        <v>29</v>
      </c>
      <c r="B115" s="68" t="s">
        <v>96</v>
      </c>
      <c r="C115" s="80" t="s">
        <v>97</v>
      </c>
      <c r="D115" s="81">
        <f>D114+D22</f>
        <v>1413.8852066655934</v>
      </c>
      <c r="E115" s="81">
        <f>E114+E22</f>
        <v>1643.7235970786862</v>
      </c>
      <c r="F115" s="81">
        <f>F114+F22</f>
        <v>1909.9996762546589</v>
      </c>
      <c r="G115" s="99">
        <f>G114+G22</f>
        <v>2185.1717171717173</v>
      </c>
      <c r="H115" s="81">
        <f>H114+H22</f>
        <v>2272.5785858585855</v>
      </c>
      <c r="I115" s="81">
        <f>I114+I22</f>
        <v>2363.4817292929283</v>
      </c>
      <c r="J115" s="81">
        <f>J114+J22</f>
        <v>2458.0209984646463</v>
      </c>
      <c r="K115" s="81">
        <f>K114+K22</f>
        <v>2556.341838403232</v>
      </c>
      <c r="L115" s="81">
        <f>L114+L22</f>
        <v>2658.595511939361</v>
      </c>
      <c r="M115" s="99">
        <f>M114+M22</f>
        <v>2764.939332416937</v>
      </c>
      <c r="N115" s="81">
        <f>N114+N22</f>
        <v>2875.536905713614</v>
      </c>
      <c r="O115" s="81">
        <f>O114+O22</f>
        <v>2990.5583819421577</v>
      </c>
      <c r="P115" s="81">
        <f>P114+P22</f>
        <v>3110.180717219845</v>
      </c>
      <c r="Q115" s="93"/>
      <c r="R115" s="72"/>
      <c r="S115" s="72"/>
      <c r="T115" s="72"/>
      <c r="U115" s="72"/>
      <c r="V115" s="72"/>
      <c r="W115" s="72"/>
    </row>
    <row r="116" spans="1:17" s="72" customFormat="1" ht="6.75" customHeight="1">
      <c r="A116" s="58"/>
      <c r="C116" s="59"/>
      <c r="D116" s="60"/>
      <c r="E116" s="60"/>
      <c r="F116" s="60"/>
      <c r="G116" s="101"/>
      <c r="H116" s="60"/>
      <c r="I116" s="60"/>
      <c r="J116" s="60"/>
      <c r="K116" s="60"/>
      <c r="L116" s="60"/>
      <c r="M116" s="101"/>
      <c r="N116" s="60"/>
      <c r="O116" s="60"/>
      <c r="P116" s="60"/>
      <c r="Q116" s="74"/>
    </row>
    <row r="117" spans="1:17" s="72" customFormat="1" ht="12" customHeight="1" hidden="1">
      <c r="A117" s="77"/>
      <c r="C117" s="72" t="s">
        <v>7</v>
      </c>
      <c r="D117" s="61"/>
      <c r="E117" s="61">
        <f aca="true" t="shared" si="61" ref="E117:P117">E110</f>
        <v>-400</v>
      </c>
      <c r="F117" s="61">
        <f t="shared" si="61"/>
        <v>146.90884878982848</v>
      </c>
      <c r="G117" s="97">
        <f t="shared" si="61"/>
        <v>64.7257477144355</v>
      </c>
      <c r="H117" s="61">
        <f t="shared" si="61"/>
        <v>68.33246860748824</v>
      </c>
      <c r="I117" s="61">
        <f t="shared" si="61"/>
        <v>71.06576735178777</v>
      </c>
      <c r="J117" s="61">
        <f t="shared" si="61"/>
        <v>73.90839804585926</v>
      </c>
      <c r="K117" s="61">
        <f t="shared" si="61"/>
        <v>76.86473396769378</v>
      </c>
      <c r="L117" s="61">
        <f t="shared" si="61"/>
        <v>79.93932332640156</v>
      </c>
      <c r="M117" s="97">
        <f t="shared" si="61"/>
        <v>83.13689625945767</v>
      </c>
      <c r="N117" s="61">
        <f t="shared" si="61"/>
        <v>86.46237210983594</v>
      </c>
      <c r="O117" s="61">
        <f t="shared" si="61"/>
        <v>89.92086699422907</v>
      </c>
      <c r="P117" s="61">
        <f t="shared" si="61"/>
        <v>93.51770167399843</v>
      </c>
      <c r="Q117" s="1">
        <f>P117*(1+O$8)+P117*(1+O$8)*(1+O$8)/(P94-O$8)</f>
        <v>1182.2027107737363</v>
      </c>
    </row>
    <row r="118" spans="1:17" ht="12" customHeight="1" hidden="1">
      <c r="A118" s="17"/>
      <c r="C118" s="22" t="s">
        <v>98</v>
      </c>
      <c r="D118" s="1"/>
      <c r="E118" s="1">
        <f>E117*E95</f>
        <v>-347.82608695652175</v>
      </c>
      <c r="F118" s="1">
        <f aca="true" t="shared" si="62" ref="F118:Q118">F117*F95</f>
        <v>111.87051668995994</v>
      </c>
      <c r="G118" s="31">
        <f t="shared" si="62"/>
        <v>43.624191120100406</v>
      </c>
      <c r="H118" s="1">
        <f t="shared" si="62"/>
        <v>40.64054979031699</v>
      </c>
      <c r="I118" s="1">
        <f t="shared" si="62"/>
        <v>37.29710013690051</v>
      </c>
      <c r="J118" s="1">
        <f t="shared" si="62"/>
        <v>34.22871210648387</v>
      </c>
      <c r="K118" s="1">
        <f t="shared" si="62"/>
        <v>31.41275670677172</v>
      </c>
      <c r="L118" s="1">
        <f t="shared" si="62"/>
        <v>28.828466605727485</v>
      </c>
      <c r="M118" s="31">
        <f t="shared" si="62"/>
        <v>26.45678297500031</v>
      </c>
      <c r="N118" s="1">
        <f t="shared" si="62"/>
        <v>24.28021493336038</v>
      </c>
      <c r="O118" s="1">
        <f t="shared" si="62"/>
        <v>22.2827105535558</v>
      </c>
      <c r="P118" s="1">
        <f t="shared" si="62"/>
        <v>20.449538481281948</v>
      </c>
      <c r="Q118" s="1">
        <f t="shared" si="62"/>
        <v>228.12022418534264</v>
      </c>
    </row>
    <row r="119" spans="1:17" ht="12" customHeight="1">
      <c r="A119" s="17">
        <v>30</v>
      </c>
      <c r="C119" s="45" t="s">
        <v>99</v>
      </c>
      <c r="D119" s="19">
        <f>SUM(E118:$Q118)/D95</f>
        <v>301.66567732828025</v>
      </c>
      <c r="E119" s="19">
        <f>SUM(F118:$Q118)/E95</f>
        <v>746.9155289275221</v>
      </c>
      <c r="F119" s="19">
        <f>SUM(G118:$Q118)/F95</f>
        <v>706.0065592438434</v>
      </c>
      <c r="G119" s="95">
        <f>SUM(H118:$Q118)/G95</f>
        <v>732.9494949494957</v>
      </c>
      <c r="H119" s="19">
        <f>SUM(I118:$Q118)/H95</f>
        <v>762.2674747474756</v>
      </c>
      <c r="I119" s="19">
        <f>SUM(J118:$Q118)/I95</f>
        <v>792.7581737373747</v>
      </c>
      <c r="J119" s="19">
        <f>SUM(K118:$Q118)/J95</f>
        <v>824.4685006868699</v>
      </c>
      <c r="K119" s="19">
        <f>SUM(L118:$Q118)/K95</f>
        <v>857.4472407143446</v>
      </c>
      <c r="L119" s="19">
        <f>SUM(M118:$Q118)/L95</f>
        <v>891.7451303429183</v>
      </c>
      <c r="M119" s="95">
        <f>SUM(N118:$Q118)/M95</f>
        <v>927.414935556635</v>
      </c>
      <c r="N119" s="19">
        <f>SUM(O118:$Q118)/N95</f>
        <v>964.5115329789004</v>
      </c>
      <c r="O119" s="19">
        <f>SUM(P118:$Q118)/O95</f>
        <v>1003.0919942980564</v>
      </c>
      <c r="P119" s="19">
        <f>SUM(Q118:$Q118)/P95</f>
        <v>1043.2156740699786</v>
      </c>
      <c r="Q119" s="19"/>
    </row>
    <row r="120" spans="1:23" s="68" customFormat="1" ht="12.75" customHeight="1" thickBot="1">
      <c r="A120" s="67">
        <v>31</v>
      </c>
      <c r="B120" s="68" t="s">
        <v>100</v>
      </c>
      <c r="C120" s="80"/>
      <c r="D120" s="81">
        <f>D119+D22-(D75-D71)</f>
        <v>1413.8852066655938</v>
      </c>
      <c r="E120" s="81">
        <f>E119+E22-(E75-E71)</f>
        <v>1643.723597078687</v>
      </c>
      <c r="F120" s="81">
        <f>F119+F22-(F75-F71)</f>
        <v>1909.9996762546596</v>
      </c>
      <c r="G120" s="99">
        <f>G119+G22-(G75-G71)</f>
        <v>2185.171717171718</v>
      </c>
      <c r="H120" s="81">
        <f>H119+H22-(H75-H71)</f>
        <v>2272.578585858587</v>
      </c>
      <c r="I120" s="81">
        <f>I119+I22-(I75-I71)</f>
        <v>2363.48172929293</v>
      </c>
      <c r="J120" s="81">
        <f>J119+J22-(J75-J71)</f>
        <v>2458.020998464648</v>
      </c>
      <c r="K120" s="81">
        <f>K119+K22-(K75-K71)</f>
        <v>2556.341838403234</v>
      </c>
      <c r="L120" s="81">
        <f>L119+L22-(L75-L71)</f>
        <v>2658.595511939363</v>
      </c>
      <c r="M120" s="99">
        <f>M119+M22-(M75-M71)</f>
        <v>2764.9393324169387</v>
      </c>
      <c r="N120" s="81">
        <f>N119+N22-(N75-N71)</f>
        <v>2875.5369057136163</v>
      </c>
      <c r="O120" s="81">
        <f>O119+O22-(O75-O71)</f>
        <v>2990.55838194216</v>
      </c>
      <c r="P120" s="81">
        <f>P119+P22-(P75-P71)</f>
        <v>3110.180717219847</v>
      </c>
      <c r="Q120" s="93"/>
      <c r="R120" s="72"/>
      <c r="S120" s="72"/>
      <c r="T120" s="72"/>
      <c r="U120" s="72"/>
      <c r="V120" s="72"/>
      <c r="W120" s="72"/>
    </row>
    <row r="121" spans="1:17" s="72" customFormat="1" ht="12.75" customHeight="1">
      <c r="A121"/>
      <c r="C121" s="59"/>
      <c r="D121" s="166"/>
      <c r="E121" s="60"/>
      <c r="F121" s="60"/>
      <c r="G121" s="101"/>
      <c r="H121" s="60"/>
      <c r="I121" s="60"/>
      <c r="J121" s="60"/>
      <c r="K121" s="60"/>
      <c r="L121" s="60"/>
      <c r="M121" s="101"/>
      <c r="N121" s="60"/>
      <c r="O121" s="60"/>
      <c r="P121" s="60"/>
      <c r="Q121" s="74"/>
    </row>
    <row r="122" spans="1:17" ht="12" customHeight="1">
      <c r="A122" s="48">
        <v>27</v>
      </c>
      <c r="B122" s="45"/>
      <c r="C122" s="42" t="s">
        <v>6</v>
      </c>
      <c r="D122" s="45"/>
      <c r="E122" s="62">
        <f>E$50-D83*(D87-D$64)</f>
        <v>-17.755609413253744</v>
      </c>
      <c r="F122" s="62">
        <f>F$50-E83*(E87-E$64)</f>
        <v>-19.717539614169734</v>
      </c>
      <c r="G122" s="62">
        <f>G$50-F83*(F87-F$64)</f>
        <v>11.327910521140668</v>
      </c>
      <c r="H122" s="62">
        <f>H$50-G83*(G87-G$64)</f>
        <v>240.36888888888896</v>
      </c>
      <c r="I122" s="62">
        <f>I$50-H83*(H87-H$64)</f>
        <v>249.98364444444474</v>
      </c>
      <c r="J122" s="62">
        <f>J$50-I83*(I87-I$64)</f>
        <v>259.982990222222</v>
      </c>
      <c r="K122" s="62">
        <f>K$50-J83*(J87-J$64)</f>
        <v>270.3823098311111</v>
      </c>
      <c r="L122" s="62">
        <f>L$50-K83*(K87-K$64)</f>
        <v>281.1976022243561</v>
      </c>
      <c r="M122" s="62">
        <f>M$50-L83*(L87-L$64)</f>
        <v>292.4455063133291</v>
      </c>
      <c r="N122" s="62">
        <f>N$50-M83*(M87-M$64)</f>
        <v>304.143326565863</v>
      </c>
      <c r="O122" s="62">
        <f>O$50-N83*(N87-N$64)</f>
        <v>316.30905962849846</v>
      </c>
      <c r="P122" s="62">
        <f>P$50-O83*(O87-O$64)</f>
        <v>328.96142201363654</v>
      </c>
      <c r="Q122" s="62">
        <f>Q$50-P83*(P87-P$64)</f>
        <v>342.11987889418367</v>
      </c>
    </row>
    <row r="123" spans="1:23" s="7" customFormat="1" ht="12" customHeight="1">
      <c r="A123" s="48">
        <v>28</v>
      </c>
      <c r="B123" s="42"/>
      <c r="C123" s="42" t="s">
        <v>5</v>
      </c>
      <c r="D123" s="42"/>
      <c r="E123" s="62">
        <f>E$51-D98*(D94-D$64)</f>
        <v>-129.99999999999994</v>
      </c>
      <c r="F123" s="62">
        <f>F$51-E98*(E94-E$64)</f>
        <v>122.44629902280704</v>
      </c>
      <c r="G123" s="62">
        <f>G$51-F98*(F94-F$64)</f>
        <v>368.7080481809243</v>
      </c>
      <c r="H123" s="62">
        <f>H$51-G98*(G94-G$64)</f>
        <v>347.92444444444453</v>
      </c>
      <c r="I123" s="62">
        <f>I$51-H98*(H94-H$64)</f>
        <v>361.8414222222225</v>
      </c>
      <c r="J123" s="62">
        <f>J$51-I98*(I94-I$64)</f>
        <v>376.31507911111083</v>
      </c>
      <c r="K123" s="62">
        <f>K$51-J98*(J94-J$64)</f>
        <v>391.36768227555535</v>
      </c>
      <c r="L123" s="62">
        <f>L$51-K98*(K94-K$64)</f>
        <v>407.0223895665783</v>
      </c>
      <c r="M123" s="62">
        <f>M$51-L98*(L94-L$64)</f>
        <v>423.30328514924014</v>
      </c>
      <c r="N123" s="62">
        <f>N$51-M98*(M94-M$64)</f>
        <v>440.23541655521046</v>
      </c>
      <c r="O123" s="62">
        <f>O$51-N98*(N94-N$64)</f>
        <v>457.84483321741993</v>
      </c>
      <c r="P123" s="62">
        <f>P$51-O98*(O94-O$64)</f>
        <v>476.15862654611476</v>
      </c>
      <c r="Q123" s="62">
        <f>Q$51-P98*(P94-P$64)</f>
        <v>495.20497160796094</v>
      </c>
      <c r="R123" s="59"/>
      <c r="S123" s="59"/>
      <c r="T123" s="59"/>
      <c r="U123" s="59"/>
      <c r="V123" s="59"/>
      <c r="W123" s="59"/>
    </row>
    <row r="124" spans="1:23" s="7" customFormat="1" ht="12" customHeight="1">
      <c r="A124" s="58"/>
      <c r="B124" s="59"/>
      <c r="C124" s="59"/>
      <c r="D124" s="96"/>
      <c r="E124" s="64"/>
      <c r="F124" s="64"/>
      <c r="G124" s="65"/>
      <c r="H124" s="64"/>
      <c r="I124" s="64"/>
      <c r="J124" s="64"/>
      <c r="K124" s="64"/>
      <c r="L124" s="64"/>
      <c r="M124" s="65"/>
      <c r="N124" s="64"/>
      <c r="O124" s="64"/>
      <c r="P124" s="64"/>
      <c r="Q124" s="64"/>
      <c r="R124" s="59"/>
      <c r="S124" s="59"/>
      <c r="T124" s="59"/>
      <c r="U124" s="59"/>
      <c r="V124" s="59"/>
      <c r="W124" s="59"/>
    </row>
    <row r="125" spans="1:23" s="7" customFormat="1" ht="12" customHeight="1">
      <c r="A125" s="17"/>
      <c r="C125" s="7" t="s">
        <v>2</v>
      </c>
      <c r="D125" s="54">
        <f aca="true" t="shared" si="63" ref="D125:Q125">D$64</f>
        <v>0.15000000000000002</v>
      </c>
      <c r="E125" s="54">
        <f t="shared" si="63"/>
        <v>0.15000000000000002</v>
      </c>
      <c r="F125" s="54">
        <f t="shared" si="63"/>
        <v>0.15000000000000002</v>
      </c>
      <c r="G125" s="54">
        <f t="shared" si="63"/>
        <v>0.15000000000000002</v>
      </c>
      <c r="H125" s="54">
        <f t="shared" si="63"/>
        <v>0.15000000000000002</v>
      </c>
      <c r="I125" s="54">
        <f t="shared" si="63"/>
        <v>0.15000000000000002</v>
      </c>
      <c r="J125" s="54">
        <f t="shared" si="63"/>
        <v>0.15000000000000002</v>
      </c>
      <c r="K125" s="54">
        <f t="shared" si="63"/>
        <v>0.15000000000000002</v>
      </c>
      <c r="L125" s="54">
        <f t="shared" si="63"/>
        <v>0.15000000000000002</v>
      </c>
      <c r="M125" s="54">
        <f t="shared" si="63"/>
        <v>0.15000000000000002</v>
      </c>
      <c r="N125" s="54">
        <f t="shared" si="63"/>
        <v>0.15000000000000002</v>
      </c>
      <c r="O125" s="54">
        <f t="shared" si="63"/>
        <v>0.15000000000000002</v>
      </c>
      <c r="P125" s="54">
        <f t="shared" si="63"/>
        <v>0.15000000000000002</v>
      </c>
      <c r="Q125" s="54">
        <f t="shared" si="63"/>
        <v>0.15000000000000002</v>
      </c>
      <c r="R125" s="59"/>
      <c r="S125" s="59"/>
      <c r="T125" s="59"/>
      <c r="U125" s="59"/>
      <c r="V125" s="59"/>
      <c r="W125" s="59"/>
    </row>
    <row r="126" spans="1:17" ht="12" customHeight="1" hidden="1">
      <c r="A126" s="17"/>
      <c r="C126" s="22" t="s">
        <v>79</v>
      </c>
      <c r="D126" s="12">
        <v>1</v>
      </c>
      <c r="E126" s="12">
        <f>1/(1+D125)</f>
        <v>0.8695652173913044</v>
      </c>
      <c r="F126" s="49">
        <f aca="true" t="shared" si="64" ref="F126:Q126">E126/(1+E125)</f>
        <v>0.7561436672967865</v>
      </c>
      <c r="G126" s="100">
        <f t="shared" si="64"/>
        <v>0.6575162324319883</v>
      </c>
      <c r="H126" s="49">
        <f t="shared" si="64"/>
        <v>0.5717532455930333</v>
      </c>
      <c r="I126" s="49">
        <f t="shared" si="64"/>
        <v>0.4971767352982899</v>
      </c>
      <c r="J126" s="49">
        <f t="shared" si="64"/>
        <v>0.43232759591155645</v>
      </c>
      <c r="K126" s="49">
        <f t="shared" si="64"/>
        <v>0.3759370399230926</v>
      </c>
      <c r="L126" s="49">
        <f t="shared" si="64"/>
        <v>0.3269017738461675</v>
      </c>
      <c r="M126" s="100">
        <f t="shared" si="64"/>
        <v>0.28426241204014563</v>
      </c>
      <c r="N126" s="49">
        <f t="shared" si="64"/>
        <v>0.24718470612186577</v>
      </c>
      <c r="O126" s="49">
        <f t="shared" si="64"/>
        <v>0.2149432227146659</v>
      </c>
      <c r="P126" s="49">
        <f t="shared" si="64"/>
        <v>0.186907150186666</v>
      </c>
      <c r="Q126" s="49">
        <f t="shared" si="64"/>
        <v>0.16252795668405742</v>
      </c>
    </row>
    <row r="127" spans="1:17" ht="12" customHeight="1" hidden="1">
      <c r="A127" s="17"/>
      <c r="B127" s="45"/>
      <c r="C127" s="45" t="s">
        <v>55</v>
      </c>
      <c r="D127" s="45"/>
      <c r="E127" s="24">
        <f aca="true" t="shared" si="65" ref="E127:P127">E122</f>
        <v>-17.755609413253744</v>
      </c>
      <c r="F127" s="24">
        <f t="shared" si="65"/>
        <v>-19.717539614169734</v>
      </c>
      <c r="G127" s="105">
        <f t="shared" si="65"/>
        <v>11.327910521140668</v>
      </c>
      <c r="H127" s="24">
        <f t="shared" si="65"/>
        <v>240.36888888888896</v>
      </c>
      <c r="I127" s="24">
        <f t="shared" si="65"/>
        <v>249.98364444444474</v>
      </c>
      <c r="J127" s="24">
        <f t="shared" si="65"/>
        <v>259.982990222222</v>
      </c>
      <c r="K127" s="24">
        <f t="shared" si="65"/>
        <v>270.3823098311111</v>
      </c>
      <c r="L127" s="24">
        <f t="shared" si="65"/>
        <v>281.1976022243561</v>
      </c>
      <c r="M127" s="24">
        <f t="shared" si="65"/>
        <v>292.4455063133291</v>
      </c>
      <c r="N127" s="24">
        <f t="shared" si="65"/>
        <v>304.143326565863</v>
      </c>
      <c r="O127" s="24">
        <f t="shared" si="65"/>
        <v>316.30905962849846</v>
      </c>
      <c r="P127" s="24">
        <f t="shared" si="65"/>
        <v>328.96142201363654</v>
      </c>
      <c r="Q127" s="1">
        <f>P127*(1+O$8)+P127*(1+O$8)*(1+O$8)/(P125-O$8)</f>
        <v>3576.7078248028115</v>
      </c>
    </row>
    <row r="128" spans="1:17" ht="12" customHeight="1" hidden="1">
      <c r="A128" s="17"/>
      <c r="C128" s="22" t="s">
        <v>80</v>
      </c>
      <c r="D128" s="1"/>
      <c r="E128" s="1">
        <f aca="true" t="shared" si="66" ref="E128:Q128">E127*E126</f>
        <v>-15.439660359351084</v>
      </c>
      <c r="F128" s="1">
        <f t="shared" si="66"/>
        <v>-14.909292713927968</v>
      </c>
      <c r="G128" s="31">
        <f t="shared" si="66"/>
        <v>7.448285047187093</v>
      </c>
      <c r="H128" s="1">
        <f t="shared" si="66"/>
        <v>137.43169236181348</v>
      </c>
      <c r="I128" s="1">
        <f t="shared" si="66"/>
        <v>124.2860522228575</v>
      </c>
      <c r="J128" s="1">
        <f t="shared" si="66"/>
        <v>112.39782114067091</v>
      </c>
      <c r="K128" s="1">
        <f t="shared" si="66"/>
        <v>101.6467252054764</v>
      </c>
      <c r="L128" s="1">
        <f t="shared" si="66"/>
        <v>91.92399496843102</v>
      </c>
      <c r="M128" s="31">
        <f t="shared" si="66"/>
        <v>83.13126501492856</v>
      </c>
      <c r="N128" s="1">
        <f t="shared" si="66"/>
        <v>75.1795787961095</v>
      </c>
      <c r="O128" s="1">
        <f t="shared" si="66"/>
        <v>67.98848865039488</v>
      </c>
      <c r="P128" s="1">
        <f t="shared" si="66"/>
        <v>61.48524190992198</v>
      </c>
      <c r="Q128" s="1">
        <f t="shared" si="66"/>
        <v>581.3150144210806</v>
      </c>
    </row>
    <row r="129" spans="1:17" ht="12" customHeight="1">
      <c r="A129" s="17">
        <v>49</v>
      </c>
      <c r="C129" s="190" t="s">
        <v>101</v>
      </c>
      <c r="D129" s="41">
        <f>SUM(E128:$Q128)/D126</f>
        <v>1413.8852066655927</v>
      </c>
      <c r="E129" s="41">
        <f>SUM(F128:$Q128)/E126</f>
        <v>1643.7235970786855</v>
      </c>
      <c r="F129" s="41">
        <f>SUM(G128:$Q128)/F126</f>
        <v>1909.9996762546575</v>
      </c>
      <c r="G129" s="28">
        <f>SUM(H128:$Q128)/G126</f>
        <v>2185.1717171717155</v>
      </c>
      <c r="H129" s="41">
        <f>SUM(I128:$Q128)/H126</f>
        <v>2272.578585858584</v>
      </c>
      <c r="I129" s="41">
        <f>SUM(J128:$Q128)/I126</f>
        <v>2363.481729292927</v>
      </c>
      <c r="J129" s="41">
        <f>SUM(K128:$Q128)/J126</f>
        <v>2458.0209984646435</v>
      </c>
      <c r="K129" s="41">
        <f>SUM(L128:$Q128)/K126</f>
        <v>2556.341838403229</v>
      </c>
      <c r="L129" s="41">
        <f>SUM(M128:$Q128)/L126</f>
        <v>2658.595511939357</v>
      </c>
      <c r="M129" s="28">
        <f>SUM(N128:$Q128)/M126</f>
        <v>2764.9393324169314</v>
      </c>
      <c r="N129" s="41">
        <f>SUM(O128:$Q128)/N126</f>
        <v>2875.536905713608</v>
      </c>
      <c r="O129" s="41">
        <f>SUM(P128:$Q128)/O126</f>
        <v>2990.558381942151</v>
      </c>
      <c r="P129" s="41">
        <f>SUM(Q128:$Q128)/P126</f>
        <v>3110.1807172198364</v>
      </c>
      <c r="Q129" s="41"/>
    </row>
    <row r="130" spans="1:16" ht="12.75" customHeight="1">
      <c r="A130" s="17"/>
      <c r="D130" s="44"/>
      <c r="E130" s="44"/>
      <c r="F130" s="44"/>
      <c r="G130" s="156"/>
      <c r="H130" s="44"/>
      <c r="I130" s="44"/>
      <c r="J130" s="44"/>
      <c r="K130" s="44"/>
      <c r="L130" s="44"/>
      <c r="M130" s="33"/>
      <c r="N130" s="44"/>
      <c r="O130" s="44"/>
      <c r="P130" s="44"/>
    </row>
    <row r="131" spans="1:23" s="7" customFormat="1" ht="12" customHeight="1">
      <c r="A131" s="17"/>
      <c r="C131" s="7" t="s">
        <v>2</v>
      </c>
      <c r="D131" s="54">
        <f aca="true" t="shared" si="67" ref="D131:Q131">D$64</f>
        <v>0.15000000000000002</v>
      </c>
      <c r="E131" s="54">
        <f t="shared" si="67"/>
        <v>0.15000000000000002</v>
      </c>
      <c r="F131" s="54">
        <f t="shared" si="67"/>
        <v>0.15000000000000002</v>
      </c>
      <c r="G131" s="54">
        <f t="shared" si="67"/>
        <v>0.15000000000000002</v>
      </c>
      <c r="H131" s="54">
        <f t="shared" si="67"/>
        <v>0.15000000000000002</v>
      </c>
      <c r="I131" s="54">
        <f t="shared" si="67"/>
        <v>0.15000000000000002</v>
      </c>
      <c r="J131" s="54">
        <f t="shared" si="67"/>
        <v>0.15000000000000002</v>
      </c>
      <c r="K131" s="54">
        <f t="shared" si="67"/>
        <v>0.15000000000000002</v>
      </c>
      <c r="L131" s="54">
        <f t="shared" si="67"/>
        <v>0.15000000000000002</v>
      </c>
      <c r="M131" s="54">
        <f t="shared" si="67"/>
        <v>0.15000000000000002</v>
      </c>
      <c r="N131" s="54">
        <f t="shared" si="67"/>
        <v>0.15000000000000002</v>
      </c>
      <c r="O131" s="54">
        <f t="shared" si="67"/>
        <v>0.15000000000000002</v>
      </c>
      <c r="P131" s="54">
        <f t="shared" si="67"/>
        <v>0.15000000000000002</v>
      </c>
      <c r="Q131" s="54">
        <f t="shared" si="67"/>
        <v>0.15000000000000002</v>
      </c>
      <c r="R131" s="59"/>
      <c r="S131" s="59"/>
      <c r="T131" s="59"/>
      <c r="U131" s="59"/>
      <c r="V131" s="59"/>
      <c r="W131" s="59"/>
    </row>
    <row r="132" spans="1:17" ht="10.5" customHeight="1" hidden="1">
      <c r="A132" s="17"/>
      <c r="C132" s="22" t="s">
        <v>83</v>
      </c>
      <c r="D132" s="12">
        <v>1</v>
      </c>
      <c r="E132" s="12">
        <f>1/(1+D131)</f>
        <v>0.8695652173913044</v>
      </c>
      <c r="F132" s="12">
        <f aca="true" t="shared" si="68" ref="F132:Q132">E132/(1+E131)</f>
        <v>0.7561436672967865</v>
      </c>
      <c r="G132" s="102">
        <f t="shared" si="68"/>
        <v>0.6575162324319883</v>
      </c>
      <c r="H132" s="12">
        <f t="shared" si="68"/>
        <v>0.5717532455930333</v>
      </c>
      <c r="I132" s="12">
        <f t="shared" si="68"/>
        <v>0.4971767352982899</v>
      </c>
      <c r="J132" s="12">
        <f t="shared" si="68"/>
        <v>0.43232759591155645</v>
      </c>
      <c r="K132" s="12">
        <f t="shared" si="68"/>
        <v>0.3759370399230926</v>
      </c>
      <c r="L132" s="12">
        <f t="shared" si="68"/>
        <v>0.3269017738461675</v>
      </c>
      <c r="M132" s="102">
        <f t="shared" si="68"/>
        <v>0.28426241204014563</v>
      </c>
      <c r="N132" s="12">
        <f t="shared" si="68"/>
        <v>0.24718470612186577</v>
      </c>
      <c r="O132" s="12">
        <f t="shared" si="68"/>
        <v>0.2149432227146659</v>
      </c>
      <c r="P132" s="12">
        <f t="shared" si="68"/>
        <v>0.186907150186666</v>
      </c>
      <c r="Q132" s="12">
        <f t="shared" si="68"/>
        <v>0.16252795668405742</v>
      </c>
    </row>
    <row r="133" spans="1:17" ht="10.5" customHeight="1" hidden="1">
      <c r="A133" s="48"/>
      <c r="B133" s="45"/>
      <c r="C133" s="45" t="s">
        <v>56</v>
      </c>
      <c r="D133" s="45"/>
      <c r="E133" s="45">
        <f aca="true" t="shared" si="69" ref="E133:P133">E123</f>
        <v>-129.99999999999994</v>
      </c>
      <c r="F133" s="45">
        <f t="shared" si="69"/>
        <v>122.44629902280704</v>
      </c>
      <c r="G133" s="103">
        <f t="shared" si="69"/>
        <v>368.7080481809243</v>
      </c>
      <c r="H133" s="45">
        <f t="shared" si="69"/>
        <v>347.92444444444453</v>
      </c>
      <c r="I133" s="45">
        <f t="shared" si="69"/>
        <v>361.8414222222225</v>
      </c>
      <c r="J133" s="45">
        <f t="shared" si="69"/>
        <v>376.31507911111083</v>
      </c>
      <c r="K133" s="45">
        <f t="shared" si="69"/>
        <v>391.36768227555535</v>
      </c>
      <c r="L133" s="45">
        <f t="shared" si="69"/>
        <v>407.0223895665783</v>
      </c>
      <c r="M133" s="103">
        <f t="shared" si="69"/>
        <v>423.30328514924014</v>
      </c>
      <c r="N133" s="45">
        <f t="shared" si="69"/>
        <v>440.23541655521046</v>
      </c>
      <c r="O133" s="45">
        <f t="shared" si="69"/>
        <v>457.84483321741993</v>
      </c>
      <c r="P133" s="45">
        <f t="shared" si="69"/>
        <v>476.15862654611476</v>
      </c>
      <c r="Q133" s="1">
        <f>P133*(1+O$8)+P133*(1+O$8)*(1+O$8)/(P131-O$8)</f>
        <v>5177.142884992301</v>
      </c>
    </row>
    <row r="134" spans="1:17" ht="10.5" customHeight="1" hidden="1" thickBot="1">
      <c r="A134" s="17"/>
      <c r="C134" s="22" t="s">
        <v>65</v>
      </c>
      <c r="D134" s="1"/>
      <c r="E134" s="1">
        <f aca="true" t="shared" si="70" ref="E134:Q134">E133*E132</f>
        <v>-113.04347826086952</v>
      </c>
      <c r="F134" s="1">
        <f t="shared" si="70"/>
        <v>92.58699359002424</v>
      </c>
      <c r="G134" s="31">
        <f t="shared" si="70"/>
        <v>242.43152670727338</v>
      </c>
      <c r="H134" s="1">
        <f t="shared" si="70"/>
        <v>198.92693033226416</v>
      </c>
      <c r="I134" s="1">
        <f t="shared" si="70"/>
        <v>179.89913699613464</v>
      </c>
      <c r="J134" s="1">
        <f t="shared" si="70"/>
        <v>162.69139345737372</v>
      </c>
      <c r="K134" s="1">
        <f t="shared" si="70"/>
        <v>147.12960799623366</v>
      </c>
      <c r="L134" s="1">
        <f t="shared" si="70"/>
        <v>133.05634114442026</v>
      </c>
      <c r="M134" s="31">
        <f t="shared" si="70"/>
        <v>120.32921286104056</v>
      </c>
      <c r="N134" s="1">
        <f t="shared" si="70"/>
        <v>108.81946206563686</v>
      </c>
      <c r="O134" s="1">
        <f t="shared" si="70"/>
        <v>98.41064395501095</v>
      </c>
      <c r="P134" s="1">
        <f t="shared" si="70"/>
        <v>88.99745192453129</v>
      </c>
      <c r="Q134" s="1">
        <f t="shared" si="70"/>
        <v>841.4304545592048</v>
      </c>
    </row>
    <row r="135" spans="1:17" ht="10.5" customHeight="1">
      <c r="A135" s="17">
        <v>52</v>
      </c>
      <c r="B135" s="4" t="s">
        <v>102</v>
      </c>
      <c r="C135" s="45" t="s">
        <v>103</v>
      </c>
      <c r="D135" s="19">
        <f>SUM(E134:$Q134)/D132</f>
        <v>2301.665677328279</v>
      </c>
      <c r="E135" s="19">
        <f>SUM(F134:$Q134)/E132</f>
        <v>2776.9155289275204</v>
      </c>
      <c r="F135" s="19">
        <f>SUM(G134:$Q134)/F132</f>
        <v>3071.0065592438414</v>
      </c>
      <c r="G135" s="95">
        <f>SUM(H134:$Q134)/G132</f>
        <v>3162.949494949493</v>
      </c>
      <c r="H135" s="19">
        <f>SUM(I134:$Q134)/H132</f>
        <v>3289.467474747473</v>
      </c>
      <c r="I135" s="19">
        <f>SUM(J134:$Q134)/I132</f>
        <v>3421.046173737371</v>
      </c>
      <c r="J135" s="19">
        <f>SUM(K134:$Q134)/J132</f>
        <v>3557.888020686865</v>
      </c>
      <c r="K135" s="19">
        <f>SUM(L134:$Q134)/K132</f>
        <v>3700.2035415143396</v>
      </c>
      <c r="L135" s="19">
        <f>SUM(M134:$Q134)/L132</f>
        <v>3848.2116831749113</v>
      </c>
      <c r="M135" s="95">
        <f>SUM(N134:$Q134)/M132</f>
        <v>4002.140150501908</v>
      </c>
      <c r="N135" s="19">
        <f>SUM(O134:$Q134)/N132</f>
        <v>4162.225756521983</v>
      </c>
      <c r="O135" s="19">
        <f>SUM(P134:$Q134)/O132</f>
        <v>4328.714786782862</v>
      </c>
      <c r="P135" s="19">
        <f>SUM(Q134:$Q134)/P132</f>
        <v>4501.863378254176</v>
      </c>
      <c r="Q135" s="19"/>
    </row>
    <row r="136" spans="1:17" ht="12.75" customHeight="1">
      <c r="A136" s="17">
        <v>53</v>
      </c>
      <c r="B136" s="4" t="s">
        <v>75</v>
      </c>
      <c r="C136" s="42" t="s">
        <v>104</v>
      </c>
      <c r="D136" s="41">
        <f>D135-D$75</f>
        <v>1413.8852066655925</v>
      </c>
      <c r="E136" s="41">
        <f aca="true" t="shared" si="71" ref="E136:P136">E135-E$75</f>
        <v>1643.723597078685</v>
      </c>
      <c r="F136" s="41">
        <f t="shared" si="71"/>
        <v>1909.9996762546575</v>
      </c>
      <c r="G136" s="41">
        <f t="shared" si="71"/>
        <v>2185.171717171715</v>
      </c>
      <c r="H136" s="41">
        <f t="shared" si="71"/>
        <v>2272.578585858584</v>
      </c>
      <c r="I136" s="41">
        <f t="shared" si="71"/>
        <v>2363.481729292927</v>
      </c>
      <c r="J136" s="41">
        <f t="shared" si="71"/>
        <v>2458.020998464643</v>
      </c>
      <c r="K136" s="41">
        <f t="shared" si="71"/>
        <v>2556.341838403229</v>
      </c>
      <c r="L136" s="41">
        <f t="shared" si="71"/>
        <v>2658.595511939356</v>
      </c>
      <c r="M136" s="41">
        <f t="shared" si="71"/>
        <v>2764.9393324169305</v>
      </c>
      <c r="N136" s="41">
        <f t="shared" si="71"/>
        <v>2875.5369057136068</v>
      </c>
      <c r="O136" s="41">
        <f t="shared" si="71"/>
        <v>2990.55838194215</v>
      </c>
      <c r="P136" s="41">
        <f t="shared" si="71"/>
        <v>3110.180717219836</v>
      </c>
      <c r="Q136" s="21"/>
    </row>
    <row r="137" spans="1:17" ht="12.75" customHeight="1">
      <c r="A137" s="17"/>
      <c r="C137" s="59"/>
      <c r="D137" s="60"/>
      <c r="E137" s="60"/>
      <c r="F137" s="118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91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3.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0.5"/>
    <row r="244" ht="10.5"/>
    <row r="245" ht="10.5"/>
    <row r="246" ht="10.5"/>
    <row r="247" ht="10.5"/>
    <row r="248" ht="10.5"/>
    <row r="249" ht="10.5"/>
    <row r="250" ht="10.5"/>
    <row r="251" ht="10.5"/>
  </sheetData>
  <printOptions/>
  <pageMargins left="0.7499999999999608" right="0.39566929133858264" top="1" bottom="1" header="0.5" footer="0.5"/>
  <pageSetup orientation="landscape" paperSize="9"/>
  <headerFooter alignWithMargins="0">
    <oddHeader>&amp;CValoración empresa. completo</oddHeader>
    <oddFooter>&amp;L&amp;D&amp;CPágina &amp;P&amp;RPablo Fernández. IESE</oddFooter>
  </headerFooter>
  <rowBreaks count="6" manualBreakCount="6">
    <brk id="44" max="65535" man="1"/>
    <brk id="126" max="65535" man="1"/>
    <brk id="440" max="65535" man="1"/>
    <brk id="511" max="65535" man="1"/>
    <brk id="544" max="65535" man="1"/>
    <brk id="58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2000-11-14T08:21:59Z</dcterms:created>
  <dcterms:modified xsi:type="dcterms:W3CDTF">2004-03-08T11:49:00Z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28879501</vt:i4>
  </property>
  <property fmtid="{D5CDD505-2E9C-101B-9397-08002B2CF9AE}" pid="4" name="_EmailSubje">
    <vt:lpwstr>Cambiar estas tablas cap 28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