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3365" windowHeight="8820" activeTab="0"/>
  </bookViews>
  <sheets>
    <sheet name="27.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<sst xmlns="http://schemas.openxmlformats.org/spreadsheetml/2006/main" count="103" uniqueCount="91">
  <si>
    <t>Coste de la deuda: r</t>
  </si>
  <si>
    <t>9'</t>
  </si>
  <si>
    <t>Endeudamiento (valor contable)</t>
  </si>
  <si>
    <t>Rentabilidad exigida a la deuda: Kd</t>
  </si>
  <si>
    <t>Valor de mercado de la deuda D. (3)/(9')</t>
  </si>
  <si>
    <t>Valor acciones E. (7)/(10)</t>
  </si>
  <si>
    <t>Valor de mercado de la empresa. (11)+(12)</t>
  </si>
  <si>
    <t>Cotización de la acción, P (12)/(19)</t>
  </si>
  <si>
    <t>Endeudamiento (mercado). (11)/(13)</t>
  </si>
  <si>
    <t>Beneficio por acción, BPA. (6)/(19)</t>
  </si>
  <si>
    <t>Perpetuidad g=0</t>
  </si>
  <si>
    <t>BAIT</t>
  </si>
  <si>
    <t>Intereses</t>
  </si>
  <si>
    <t>Beneficio antes de impuestos (BAT)</t>
  </si>
  <si>
    <t>Impuestos (50%)</t>
  </si>
  <si>
    <t>Beneficio después de impuestos (BDT)</t>
  </si>
  <si>
    <t>Intereses + dividendos (L3+L7)</t>
  </si>
  <si>
    <t>Coste de la deuda: Kd</t>
  </si>
  <si>
    <t>Coste de los recursos propios: Ke</t>
  </si>
  <si>
    <t xml:space="preserve">Valor contable de la deuda, BVD </t>
  </si>
  <si>
    <t>Valor contable de las acciones, BVE</t>
  </si>
  <si>
    <t>Valor contable de la empresa, BVF</t>
  </si>
  <si>
    <t xml:space="preserve">  ROA (BAIT (1–t)/L16)</t>
  </si>
  <si>
    <t xml:space="preserve">  ROE (L6/L15)</t>
  </si>
  <si>
    <t xml:space="preserve">Ratio cotización-beneficio, PER </t>
  </si>
  <si>
    <t>Endeudamiento contable (L14/L16)</t>
  </si>
  <si>
    <t>Coste promedio del capital (WACC)</t>
  </si>
  <si>
    <t>Cash flow disponible, FCF = BAIT (1-T)</t>
  </si>
  <si>
    <t>Valor de mercado de la empresa, VF (L26/L25)</t>
  </si>
  <si>
    <t>ANALISIS</t>
  </si>
  <si>
    <t>Riesgo de los impuestos para mantener el valor total de D+E+GOV en 1.000.000</t>
  </si>
  <si>
    <t>GOV =</t>
  </si>
  <si>
    <t>Kimp</t>
  </si>
  <si>
    <t>Coste de la deuda por tramos</t>
  </si>
  <si>
    <t>50.000 iniciales</t>
  </si>
  <si>
    <t>50.000 siguientes</t>
  </si>
  <si>
    <t>Promedio</t>
  </si>
  <si>
    <t>Precio por acción en la recompra para pasar desde D=0 hasta endeudamiento actual</t>
  </si>
  <si>
    <t>Precio por acción en la recompra para pasar desde endeudamiento anterior hasta endeudamiento actual</t>
  </si>
  <si>
    <t>APV.  D+E = Vu + VAN (ahorro impuestos debido a la deuda)</t>
  </si>
  <si>
    <t xml:space="preserve">Vu = </t>
  </si>
  <si>
    <t>D + E (según el anexo)</t>
  </si>
  <si>
    <t>luego: VAN (ahorro impuestos por deuda)</t>
  </si>
  <si>
    <t>Ahorro impuestos por deuda</t>
  </si>
  <si>
    <t>Ahorro impuestos por deuda/VAN</t>
  </si>
  <si>
    <t>Valor de Ku que resulta con los valores del anexo:</t>
  </si>
  <si>
    <t>Flujos:</t>
  </si>
  <si>
    <t>Impuestos</t>
  </si>
  <si>
    <t>Deuda (intereses)</t>
  </si>
  <si>
    <t>Acciones (dividendos)</t>
  </si>
  <si>
    <t>SUMA</t>
  </si>
  <si>
    <t>Ke</t>
  </si>
  <si>
    <t>rentabilidad exigida al flujo incremental</t>
  </si>
  <si>
    <t>aumento Ke</t>
  </si>
  <si>
    <t>aumento Kd</t>
  </si>
  <si>
    <t>Ke - Kd</t>
  </si>
  <si>
    <t>Ke - Kd (1-T)</t>
  </si>
  <si>
    <t>Máximo en 20%</t>
  </si>
  <si>
    <t>1**</t>
  </si>
  <si>
    <t>A</t>
  </si>
  <si>
    <t>B</t>
  </si>
  <si>
    <t>Ku= {EKe + DKd (1-T)} / {E + D (1-T)}</t>
  </si>
  <si>
    <t>Inversor 1</t>
  </si>
  <si>
    <t>expect</t>
  </si>
  <si>
    <t>Rf</t>
  </si>
  <si>
    <t>precio</t>
  </si>
  <si>
    <t>Inversor 2</t>
  </si>
  <si>
    <t>Precio mercado</t>
  </si>
  <si>
    <t>tasa</t>
  </si>
  <si>
    <t>Valor de la deuda D</t>
  </si>
  <si>
    <t>Impuestos anuales</t>
  </si>
  <si>
    <t>Flujos para la deuda (intereses)</t>
  </si>
  <si>
    <t>Flujos para las acciones (dividendos)</t>
  </si>
  <si>
    <t>Dividendos = CFac</t>
  </si>
  <si>
    <t>Suma = flujos generados por la empresa = BAIT</t>
  </si>
  <si>
    <t>Kactivos = (2) / (29)</t>
  </si>
  <si>
    <t>Valor de los impuestos. GOV = (5) / Ke</t>
  </si>
  <si>
    <t>D + E + GOV = (11) + (12) + (28)</t>
  </si>
  <si>
    <t>VAN (Costes del apalancamiento)</t>
  </si>
  <si>
    <t>Rentabilidad exigida a los flujos incrementales para las acciones (de derecha a izquierda):</t>
  </si>
  <si>
    <t>Pq (deuda)</t>
  </si>
  <si>
    <t>Pq (acciones)</t>
  </si>
  <si>
    <t>Kd MM</t>
  </si>
  <si>
    <t>Ke MM</t>
  </si>
  <si>
    <t>Precio/acción. Recompra incremental</t>
  </si>
  <si>
    <t>Número de acciones en circulación, NA</t>
  </si>
  <si>
    <r>
      <t>D</t>
    </r>
    <r>
      <rPr>
        <i/>
        <sz val="8"/>
        <rFont val="Arial Narrow"/>
        <family val="0"/>
      </rPr>
      <t xml:space="preserve"> Kactivos </t>
    </r>
  </si>
  <si>
    <r>
      <t>D</t>
    </r>
    <r>
      <rPr>
        <sz val="8"/>
        <rFont val="Arial Narrow"/>
        <family val="2"/>
      </rPr>
      <t xml:space="preserve">  costes del apalancamiento</t>
    </r>
  </si>
  <si>
    <r>
      <t>D (</t>
    </r>
    <r>
      <rPr>
        <sz val="8"/>
        <rFont val="Tms Rmn"/>
        <family val="0"/>
      </rPr>
      <t>DT)</t>
    </r>
  </si>
  <si>
    <r>
      <t xml:space="preserve"> </t>
    </r>
    <r>
      <rPr>
        <sz val="8"/>
        <rFont val="Symbol"/>
        <family val="1"/>
      </rPr>
      <t>D</t>
    </r>
    <r>
      <rPr>
        <sz val="8"/>
        <rFont val="Tms Rmn"/>
        <family val="0"/>
      </rPr>
      <t xml:space="preserve">Kactivos </t>
    </r>
  </si>
  <si>
    <r>
      <t>flujo incremental para las acciones (</t>
    </r>
    <r>
      <rPr>
        <sz val="8"/>
        <rFont val="Symbol"/>
        <family val="0"/>
      </rPr>
      <t>D</t>
    </r>
    <r>
      <rPr>
        <sz val="8"/>
        <rFont val="Arial Narrow"/>
        <family val="0"/>
      </rPr>
      <t>Div)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</si>
</sst>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mm\-yy"/>
    <numFmt numFmtId="189" formatCode="0.0%"/>
    <numFmt numFmtId="190" formatCode="0.000%"/>
    <numFmt numFmtId="191" formatCode="#,##0.0"/>
    <numFmt numFmtId="192" formatCode="#,##0.000"/>
    <numFmt numFmtId="193" formatCode="#,##0.0000"/>
    <numFmt numFmtId="194" formatCode="#,##0.00000"/>
    <numFmt numFmtId="195" formatCode="0.000000"/>
    <numFmt numFmtId="196" formatCode="0.00000"/>
    <numFmt numFmtId="197" formatCode="0.0000"/>
    <numFmt numFmtId="198" formatCode="0.000"/>
  </numFmts>
  <fonts count="2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Geneva"/>
      <family val="0"/>
    </font>
    <font>
      <sz val="10"/>
      <name val="Arial Narrow"/>
      <family val="0"/>
    </font>
    <font>
      <b/>
      <sz val="10"/>
      <name val="Arial Narrow"/>
      <family val="0"/>
    </font>
    <font>
      <b/>
      <u val="single"/>
      <sz val="12"/>
      <name val="Tms Rmn"/>
      <family val="0"/>
    </font>
    <font>
      <sz val="8"/>
      <name val="Arial Narrow"/>
      <family val="0"/>
    </font>
    <font>
      <b/>
      <sz val="8"/>
      <name val="Arial Narrow"/>
      <family val="0"/>
    </font>
    <font>
      <u val="single"/>
      <sz val="8"/>
      <name val="Arial Narrow"/>
      <family val="0"/>
    </font>
    <font>
      <sz val="8"/>
      <name val="Tms Rmn"/>
      <family val="0"/>
    </font>
    <font>
      <sz val="8"/>
      <name val="Geneva"/>
      <family val="0"/>
    </font>
    <font>
      <b/>
      <u val="single"/>
      <sz val="8"/>
      <name val="Tms Rmn"/>
      <family val="0"/>
    </font>
    <font>
      <b/>
      <sz val="8"/>
      <name val="Tms Rmn"/>
      <family val="0"/>
    </font>
    <font>
      <b/>
      <sz val="8"/>
      <name val="Geneva"/>
      <family val="0"/>
    </font>
    <font>
      <i/>
      <sz val="8"/>
      <name val="Symbol"/>
      <family val="0"/>
    </font>
    <font>
      <i/>
      <sz val="8"/>
      <name val="Arial Narrow"/>
      <family val="0"/>
    </font>
    <font>
      <i/>
      <sz val="8"/>
      <name val="Geneva"/>
      <family val="0"/>
    </font>
    <font>
      <sz val="8"/>
      <name val="Symbol"/>
      <family val="0"/>
    </font>
    <font>
      <b/>
      <sz val="8"/>
      <name val="Symbol"/>
      <family val="1"/>
    </font>
    <font>
      <b/>
      <i/>
      <sz val="8"/>
      <name val="Tms Rmn"/>
      <family val="0"/>
    </font>
    <font>
      <u val="single"/>
      <sz val="8"/>
      <name val="Tms Rmn"/>
      <family val="0"/>
    </font>
    <font>
      <b/>
      <i/>
      <u val="single"/>
      <sz val="8"/>
      <name val="Arial Narrow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9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9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/>
    </xf>
    <xf numFmtId="9" fontId="11" fillId="0" borderId="3" xfId="0" applyNumberFormat="1" applyFont="1" applyBorder="1" applyAlignment="1">
      <alignment/>
    </xf>
    <xf numFmtId="9" fontId="11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6" xfId="0" applyNumberFormat="1" applyFont="1" applyBorder="1" applyAlignment="1">
      <alignment/>
    </xf>
    <xf numFmtId="0" fontId="11" fillId="0" borderId="1" xfId="0" applyFont="1" applyBorder="1" applyAlignment="1">
      <alignment/>
    </xf>
    <xf numFmtId="10" fontId="11" fillId="0" borderId="1" xfId="0" applyNumberFormat="1" applyFont="1" applyBorder="1" applyAlignment="1">
      <alignment/>
    </xf>
    <xf numFmtId="10" fontId="11" fillId="0" borderId="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10" fontId="10" fillId="0" borderId="8" xfId="0" applyNumberFormat="1" applyFont="1" applyBorder="1" applyAlignment="1">
      <alignment/>
    </xf>
    <xf numFmtId="197" fontId="10" fillId="0" borderId="0" xfId="0" applyNumberFormat="1" applyFont="1" applyBorder="1" applyAlignment="1">
      <alignment/>
    </xf>
    <xf numFmtId="197" fontId="10" fillId="0" borderId="6" xfId="0" applyNumberFormat="1" applyFont="1" applyBorder="1" applyAlignment="1">
      <alignment/>
    </xf>
    <xf numFmtId="196" fontId="10" fillId="0" borderId="0" xfId="0" applyNumberFormat="1" applyFont="1" applyBorder="1" applyAlignment="1">
      <alignment/>
    </xf>
    <xf numFmtId="196" fontId="10" fillId="0" borderId="6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9" fontId="10" fillId="0" borderId="6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10" fontId="11" fillId="0" borderId="0" xfId="21" applyNumberFormat="1" applyFont="1" applyBorder="1" applyAlignment="1">
      <alignment/>
    </xf>
    <xf numFmtId="10" fontId="11" fillId="0" borderId="6" xfId="21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10" fontId="19" fillId="0" borderId="18" xfId="21" applyNumberFormat="1" applyFont="1" applyBorder="1" applyAlignment="1">
      <alignment/>
    </xf>
    <xf numFmtId="10" fontId="19" fillId="0" borderId="19" xfId="21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21" xfId="0" applyFont="1" applyBorder="1" applyAlignment="1">
      <alignment/>
    </xf>
    <xf numFmtId="10" fontId="13" fillId="0" borderId="21" xfId="0" applyNumberFormat="1" applyFont="1" applyBorder="1" applyAlignment="1">
      <alignment/>
    </xf>
    <xf numFmtId="10" fontId="13" fillId="0" borderId="22" xfId="0" applyNumberFormat="1" applyFont="1" applyBorder="1" applyAlignment="1">
      <alignment/>
    </xf>
    <xf numFmtId="0" fontId="23" fillId="0" borderId="0" xfId="0" applyFont="1" applyBorder="1" applyAlignment="1">
      <alignment/>
    </xf>
    <xf numFmtId="10" fontId="13" fillId="0" borderId="0" xfId="0" applyNumberFormat="1" applyFont="1" applyBorder="1" applyAlignment="1">
      <alignment/>
    </xf>
    <xf numFmtId="10" fontId="13" fillId="0" borderId="6" xfId="0" applyNumberFormat="1" applyFont="1" applyBorder="1" applyAlignment="1">
      <alignment/>
    </xf>
    <xf numFmtId="10" fontId="16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6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3" fillId="0" borderId="6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3" fillId="0" borderId="22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6" xfId="0" applyNumberFormat="1" applyFont="1" applyBorder="1" applyAlignment="1">
      <alignment/>
    </xf>
    <xf numFmtId="10" fontId="23" fillId="0" borderId="21" xfId="0" applyNumberFormat="1" applyFont="1" applyBorder="1" applyAlignment="1">
      <alignment/>
    </xf>
    <xf numFmtId="10" fontId="23" fillId="0" borderId="22" xfId="0" applyNumberFormat="1" applyFont="1" applyBorder="1" applyAlignment="1">
      <alignment/>
    </xf>
    <xf numFmtId="10" fontId="13" fillId="0" borderId="0" xfId="21" applyNumberFormat="1" applyFont="1" applyBorder="1" applyAlignment="1">
      <alignment/>
    </xf>
    <xf numFmtId="10" fontId="23" fillId="0" borderId="0" xfId="21" applyNumberFormat="1" applyFont="1" applyBorder="1" applyAlignment="1">
      <alignment/>
    </xf>
    <xf numFmtId="10" fontId="23" fillId="0" borderId="6" xfId="21" applyNumberFormat="1" applyFont="1" applyBorder="1" applyAlignment="1">
      <alignment/>
    </xf>
    <xf numFmtId="10" fontId="13" fillId="0" borderId="6" xfId="21" applyNumberFormat="1" applyFont="1" applyBorder="1" applyAlignment="1">
      <alignment/>
    </xf>
    <xf numFmtId="0" fontId="10" fillId="0" borderId="18" xfId="0" applyFont="1" applyBorder="1" applyAlignment="1">
      <alignment/>
    </xf>
    <xf numFmtId="10" fontId="10" fillId="0" borderId="18" xfId="0" applyNumberFormat="1" applyFont="1" applyBorder="1" applyAlignment="1">
      <alignment/>
    </xf>
    <xf numFmtId="10" fontId="10" fillId="0" borderId="19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6" xfId="0" applyFont="1" applyBorder="1" applyAlignment="1">
      <alignment/>
    </xf>
    <xf numFmtId="10" fontId="25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9" fontId="11" fillId="0" borderId="18" xfId="0" applyNumberFormat="1" applyFont="1" applyBorder="1" applyAlignment="1">
      <alignment/>
    </xf>
    <xf numFmtId="9" fontId="11" fillId="0" borderId="19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10" fontId="11" fillId="0" borderId="16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10" fontId="11" fillId="0" borderId="21" xfId="0" applyNumberFormat="1" applyFont="1" applyBorder="1" applyAlignment="1">
      <alignment/>
    </xf>
    <xf numFmtId="10" fontId="11" fillId="0" borderId="22" xfId="0" applyNumberFormat="1" applyFont="1" applyBorder="1" applyAlignment="1">
      <alignment/>
    </xf>
    <xf numFmtId="198" fontId="10" fillId="0" borderId="18" xfId="0" applyNumberFormat="1" applyFont="1" applyBorder="1" applyAlignment="1">
      <alignment/>
    </xf>
    <xf numFmtId="198" fontId="11" fillId="0" borderId="18" xfId="0" applyNumberFormat="1" applyFont="1" applyBorder="1" applyAlignment="1">
      <alignment/>
    </xf>
    <xf numFmtId="198" fontId="10" fillId="0" borderId="19" xfId="0" applyNumberFormat="1" applyFont="1" applyBorder="1" applyAlignment="1">
      <alignment/>
    </xf>
    <xf numFmtId="190" fontId="13" fillId="0" borderId="15" xfId="21" applyNumberFormat="1" applyFont="1" applyBorder="1" applyAlignment="1">
      <alignment/>
    </xf>
    <xf numFmtId="190" fontId="13" fillId="0" borderId="16" xfId="21" applyNumberFormat="1" applyFont="1" applyBorder="1" applyAlignment="1">
      <alignment/>
    </xf>
    <xf numFmtId="190" fontId="13" fillId="0" borderId="1" xfId="21" applyNumberFormat="1" applyFont="1" applyBorder="1" applyAlignment="1">
      <alignment/>
    </xf>
    <xf numFmtId="190" fontId="13" fillId="0" borderId="8" xfId="21" applyNumberFormat="1" applyFont="1" applyBorder="1" applyAlignment="1">
      <alignment/>
    </xf>
    <xf numFmtId="196" fontId="10" fillId="0" borderId="1" xfId="0" applyNumberFormat="1" applyFont="1" applyBorder="1" applyAlignment="1">
      <alignment/>
    </xf>
    <xf numFmtId="196" fontId="11" fillId="0" borderId="1" xfId="0" applyNumberFormat="1" applyFont="1" applyBorder="1" applyAlignment="1">
      <alignment/>
    </xf>
    <xf numFmtId="196" fontId="10" fillId="0" borderId="8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">
      <pane ySplit="2940" topLeftCell="BM23" activePane="bottomLeft" state="split"/>
      <selection pane="topLeft" activeCell="C3" sqref="C3"/>
      <selection pane="bottomLeft" activeCell="J28" sqref="J28"/>
    </sheetView>
  </sheetViews>
  <sheetFormatPr defaultColWidth="9.00390625" defaultRowHeight="12.75"/>
  <cols>
    <col min="1" max="1" width="2.875" style="4" customWidth="1"/>
    <col min="2" max="2" width="27.25390625" style="0" customWidth="1"/>
    <col min="3" max="8" width="9.00390625" style="0" customWidth="1"/>
    <col min="9" max="9" width="7.125" style="0" customWidth="1"/>
    <col min="10" max="16384" width="12.375" style="0" customWidth="1"/>
  </cols>
  <sheetData>
    <row r="1" spans="1:8" ht="12.75">
      <c r="A1" s="19"/>
      <c r="B1" s="1"/>
      <c r="C1" s="1"/>
      <c r="D1" s="1"/>
      <c r="E1" s="1"/>
      <c r="F1" s="1"/>
      <c r="G1" s="1"/>
      <c r="H1" s="1"/>
    </row>
    <row r="2" spans="2:8" ht="15.75">
      <c r="B2" s="1" t="s">
        <v>10</v>
      </c>
      <c r="C2" s="18"/>
      <c r="D2" s="1"/>
      <c r="E2" s="1"/>
      <c r="F2" s="1"/>
      <c r="G2" s="1"/>
      <c r="H2" s="1"/>
    </row>
    <row r="3" spans="3:8" ht="13.5" thickBot="1">
      <c r="C3" s="2">
        <v>0</v>
      </c>
      <c r="D3" s="2">
        <v>0.1</v>
      </c>
      <c r="E3" s="2">
        <v>0.2</v>
      </c>
      <c r="F3" s="2">
        <v>0.3</v>
      </c>
      <c r="G3" s="2">
        <v>0.4</v>
      </c>
      <c r="H3" s="2">
        <v>0.5</v>
      </c>
    </row>
    <row r="4" spans="1:8" s="24" customFormat="1" ht="13.5" customHeight="1">
      <c r="A4" s="20">
        <v>1</v>
      </c>
      <c r="B4" s="21" t="s">
        <v>2</v>
      </c>
      <c r="C4" s="22">
        <v>0</v>
      </c>
      <c r="D4" s="22">
        <v>0.1</v>
      </c>
      <c r="E4" s="22">
        <v>0.2</v>
      </c>
      <c r="F4" s="22">
        <v>0.3</v>
      </c>
      <c r="G4" s="22">
        <v>0.4</v>
      </c>
      <c r="H4" s="23">
        <v>0.5</v>
      </c>
    </row>
    <row r="5" spans="1:8" s="24" customFormat="1" ht="13.5" customHeight="1" hidden="1">
      <c r="A5" s="25">
        <v>2</v>
      </c>
      <c r="B5" s="26" t="s">
        <v>11</v>
      </c>
      <c r="C5" s="27">
        <v>120000</v>
      </c>
      <c r="D5" s="27">
        <v>120000</v>
      </c>
      <c r="E5" s="27">
        <v>120000</v>
      </c>
      <c r="F5" s="27">
        <v>120000</v>
      </c>
      <c r="G5" s="27">
        <v>120000</v>
      </c>
      <c r="H5" s="28">
        <v>120000</v>
      </c>
    </row>
    <row r="6" spans="1:8" s="24" customFormat="1" ht="13.5" customHeight="1" hidden="1">
      <c r="A6" s="25">
        <v>3</v>
      </c>
      <c r="B6" s="26" t="s">
        <v>12</v>
      </c>
      <c r="C6" s="27">
        <f aca="true" t="shared" si="0" ref="C6:H6">C12*C18</f>
        <v>0</v>
      </c>
      <c r="D6" s="27">
        <f t="shared" si="0"/>
        <v>4125</v>
      </c>
      <c r="E6" s="27">
        <f t="shared" si="0"/>
        <v>8750</v>
      </c>
      <c r="F6" s="27">
        <f t="shared" si="0"/>
        <v>14625</v>
      </c>
      <c r="G6" s="27">
        <f t="shared" si="0"/>
        <v>22000</v>
      </c>
      <c r="H6" s="28">
        <f t="shared" si="0"/>
        <v>31250</v>
      </c>
    </row>
    <row r="7" spans="1:8" s="24" customFormat="1" ht="13.5" customHeight="1" hidden="1">
      <c r="A7" s="25">
        <v>4</v>
      </c>
      <c r="B7" s="26" t="s">
        <v>13</v>
      </c>
      <c r="C7" s="27">
        <f aca="true" t="shared" si="1" ref="C7:H7">C5-C6</f>
        <v>120000</v>
      </c>
      <c r="D7" s="27">
        <f t="shared" si="1"/>
        <v>115875</v>
      </c>
      <c r="E7" s="27">
        <f t="shared" si="1"/>
        <v>111250</v>
      </c>
      <c r="F7" s="27">
        <f t="shared" si="1"/>
        <v>105375</v>
      </c>
      <c r="G7" s="27">
        <f t="shared" si="1"/>
        <v>98000</v>
      </c>
      <c r="H7" s="28">
        <f t="shared" si="1"/>
        <v>88750</v>
      </c>
    </row>
    <row r="8" spans="1:8" s="24" customFormat="1" ht="13.5" customHeight="1" hidden="1">
      <c r="A8" s="25">
        <v>5</v>
      </c>
      <c r="B8" s="26" t="s">
        <v>14</v>
      </c>
      <c r="C8" s="27">
        <f aca="true" t="shared" si="2" ref="C8:H8">C7*0.5</f>
        <v>60000</v>
      </c>
      <c r="D8" s="27">
        <f t="shared" si="2"/>
        <v>57937.5</v>
      </c>
      <c r="E8" s="27">
        <f t="shared" si="2"/>
        <v>55625</v>
      </c>
      <c r="F8" s="27">
        <f t="shared" si="2"/>
        <v>52687.5</v>
      </c>
      <c r="G8" s="27">
        <f t="shared" si="2"/>
        <v>49000</v>
      </c>
      <c r="H8" s="28">
        <f t="shared" si="2"/>
        <v>44375</v>
      </c>
    </row>
    <row r="9" spans="1:8" s="24" customFormat="1" ht="13.5" customHeight="1" hidden="1">
      <c r="A9" s="25">
        <v>6</v>
      </c>
      <c r="B9" s="26" t="s">
        <v>15</v>
      </c>
      <c r="C9" s="27">
        <f aca="true" t="shared" si="3" ref="C9:H9">C7-C8</f>
        <v>60000</v>
      </c>
      <c r="D9" s="27">
        <f t="shared" si="3"/>
        <v>57937.5</v>
      </c>
      <c r="E9" s="27">
        <f t="shared" si="3"/>
        <v>55625</v>
      </c>
      <c r="F9" s="27">
        <f t="shared" si="3"/>
        <v>52687.5</v>
      </c>
      <c r="G9" s="27">
        <f t="shared" si="3"/>
        <v>49000</v>
      </c>
      <c r="H9" s="28">
        <f t="shared" si="3"/>
        <v>44375</v>
      </c>
    </row>
    <row r="10" spans="1:8" s="24" customFormat="1" ht="13.5" customHeight="1" hidden="1">
      <c r="A10" s="25">
        <v>7</v>
      </c>
      <c r="B10" s="26" t="s">
        <v>73</v>
      </c>
      <c r="C10" s="27">
        <f aca="true" t="shared" si="4" ref="C10:H10">C9</f>
        <v>60000</v>
      </c>
      <c r="D10" s="27">
        <f t="shared" si="4"/>
        <v>57937.5</v>
      </c>
      <c r="E10" s="27">
        <f t="shared" si="4"/>
        <v>55625</v>
      </c>
      <c r="F10" s="27">
        <f t="shared" si="4"/>
        <v>52687.5</v>
      </c>
      <c r="G10" s="27">
        <f t="shared" si="4"/>
        <v>49000</v>
      </c>
      <c r="H10" s="28">
        <f t="shared" si="4"/>
        <v>44375</v>
      </c>
    </row>
    <row r="11" spans="1:8" s="24" customFormat="1" ht="13.5" customHeight="1" hidden="1" thickBot="1">
      <c r="A11" s="29">
        <v>8</v>
      </c>
      <c r="B11" s="30" t="s">
        <v>16</v>
      </c>
      <c r="C11" s="31">
        <f aca="true" t="shared" si="5" ref="C11:H11">C10+C6</f>
        <v>60000</v>
      </c>
      <c r="D11" s="31">
        <f t="shared" si="5"/>
        <v>62062.5</v>
      </c>
      <c r="E11" s="31">
        <f t="shared" si="5"/>
        <v>64375</v>
      </c>
      <c r="F11" s="31">
        <f t="shared" si="5"/>
        <v>67312.5</v>
      </c>
      <c r="G11" s="31">
        <f t="shared" si="5"/>
        <v>71000</v>
      </c>
      <c r="H11" s="32">
        <f t="shared" si="5"/>
        <v>75625</v>
      </c>
    </row>
    <row r="12" spans="1:8" s="24" customFormat="1" ht="13.5" customHeight="1">
      <c r="A12" s="25">
        <v>9</v>
      </c>
      <c r="B12" s="33" t="s">
        <v>0</v>
      </c>
      <c r="C12" s="34">
        <v>0.08</v>
      </c>
      <c r="D12" s="34">
        <v>0.0825</v>
      </c>
      <c r="E12" s="34">
        <v>0.0875</v>
      </c>
      <c r="F12" s="34">
        <v>0.0975</v>
      </c>
      <c r="G12" s="34">
        <v>0.11</v>
      </c>
      <c r="H12" s="35">
        <v>0.125</v>
      </c>
    </row>
    <row r="13" spans="1:8" s="24" customFormat="1" ht="12.75">
      <c r="A13" s="25" t="s">
        <v>1</v>
      </c>
      <c r="B13" s="33" t="s">
        <v>3</v>
      </c>
      <c r="C13" s="34">
        <f aca="true" t="shared" si="6" ref="C13:H13">0.08+C15*0.5*(C41-0.08)/(C16+C15*0.5)</f>
        <v>0.08</v>
      </c>
      <c r="D13" s="34">
        <f t="shared" si="6"/>
        <v>0.0821545946344787</v>
      </c>
      <c r="E13" s="34">
        <f t="shared" si="6"/>
        <v>0.0848082857533745</v>
      </c>
      <c r="F13" s="34">
        <f t="shared" si="6"/>
        <v>0.08859674441668447</v>
      </c>
      <c r="G13" s="34">
        <f t="shared" si="6"/>
        <v>0.0941439222648916</v>
      </c>
      <c r="H13" s="35">
        <f t="shared" si="6"/>
        <v>0.10268238374806682</v>
      </c>
    </row>
    <row r="14" spans="1:8" s="24" customFormat="1" ht="13.5" thickBot="1">
      <c r="A14" s="29">
        <v>10</v>
      </c>
      <c r="B14" s="36" t="s">
        <v>18</v>
      </c>
      <c r="C14" s="37">
        <f aca="true" t="shared" si="7" ref="C14:H14">0.12+C15/C16*(0.12-0.08)</f>
        <v>0.12</v>
      </c>
      <c r="D14" s="37">
        <f t="shared" si="7"/>
        <v>0.12430918926895741</v>
      </c>
      <c r="E14" s="37">
        <f t="shared" si="7"/>
        <v>0.129616571506749</v>
      </c>
      <c r="F14" s="37">
        <f t="shared" si="7"/>
        <v>0.13719348883336893</v>
      </c>
      <c r="G14" s="37">
        <f t="shared" si="7"/>
        <v>0.1482878445297832</v>
      </c>
      <c r="H14" s="38">
        <f t="shared" si="7"/>
        <v>0.1653647674961336</v>
      </c>
    </row>
    <row r="15" spans="1:8" s="24" customFormat="1" ht="12.75">
      <c r="A15" s="25">
        <v>11</v>
      </c>
      <c r="B15" s="26" t="s">
        <v>4</v>
      </c>
      <c r="C15" s="27">
        <f aca="true" t="shared" si="8" ref="C15:H15">C6/C13</f>
        <v>0</v>
      </c>
      <c r="D15" s="27">
        <f t="shared" si="8"/>
        <v>50210.216706112464</v>
      </c>
      <c r="E15" s="27">
        <f t="shared" si="8"/>
        <v>103173.88121067923</v>
      </c>
      <c r="F15" s="27">
        <f t="shared" si="8"/>
        <v>165073.78568242097</v>
      </c>
      <c r="G15" s="27">
        <f t="shared" si="8"/>
        <v>233684.7612753893</v>
      </c>
      <c r="H15" s="28">
        <f t="shared" si="8"/>
        <v>304336.5264744191</v>
      </c>
    </row>
    <row r="16" spans="1:8" s="24" customFormat="1" ht="12.75">
      <c r="A16" s="25">
        <v>12</v>
      </c>
      <c r="B16" s="26" t="s">
        <v>5</v>
      </c>
      <c r="C16" s="39">
        <f aca="true" t="shared" si="9" ref="C16:H16">C10/C14</f>
        <v>500000</v>
      </c>
      <c r="D16" s="39">
        <f t="shared" si="9"/>
        <v>466075.7610979625</v>
      </c>
      <c r="E16" s="39">
        <f t="shared" si="9"/>
        <v>429150.37292977364</v>
      </c>
      <c r="F16" s="39">
        <f t="shared" si="9"/>
        <v>384037.9047725264</v>
      </c>
      <c r="G16" s="39">
        <f t="shared" si="9"/>
        <v>330438.4129082036</v>
      </c>
      <c r="H16" s="40">
        <f t="shared" si="9"/>
        <v>268346.1578418603</v>
      </c>
    </row>
    <row r="17" spans="1:8" s="24" customFormat="1" ht="13.5" thickBot="1">
      <c r="A17" s="29">
        <v>13</v>
      </c>
      <c r="B17" s="30" t="s">
        <v>6</v>
      </c>
      <c r="C17" s="31">
        <f aca="true" t="shared" si="10" ref="C17:H17">C15+C16</f>
        <v>500000</v>
      </c>
      <c r="D17" s="31">
        <f t="shared" si="10"/>
        <v>516285.977804075</v>
      </c>
      <c r="E17" s="31">
        <f t="shared" si="10"/>
        <v>532324.2541404528</v>
      </c>
      <c r="F17" s="31">
        <f t="shared" si="10"/>
        <v>549111.6904549474</v>
      </c>
      <c r="G17" s="31">
        <f t="shared" si="10"/>
        <v>564123.1741835929</v>
      </c>
      <c r="H17" s="32">
        <f t="shared" si="10"/>
        <v>572682.6843162794</v>
      </c>
    </row>
    <row r="18" spans="1:8" s="24" customFormat="1" ht="12.75" hidden="1">
      <c r="A18" s="25">
        <v>14</v>
      </c>
      <c r="B18" s="26" t="s">
        <v>19</v>
      </c>
      <c r="C18" s="26">
        <v>0</v>
      </c>
      <c r="D18" s="27">
        <v>50000</v>
      </c>
      <c r="E18" s="27">
        <v>100000</v>
      </c>
      <c r="F18" s="27">
        <v>150000</v>
      </c>
      <c r="G18" s="27">
        <v>200000</v>
      </c>
      <c r="H18" s="28">
        <v>250000</v>
      </c>
    </row>
    <row r="19" spans="1:8" s="24" customFormat="1" ht="12.75" hidden="1">
      <c r="A19" s="25">
        <v>15</v>
      </c>
      <c r="B19" s="26" t="s">
        <v>20</v>
      </c>
      <c r="C19" s="39">
        <v>500000</v>
      </c>
      <c r="D19" s="39">
        <v>450000</v>
      </c>
      <c r="E19" s="39">
        <v>400000</v>
      </c>
      <c r="F19" s="39">
        <v>350000</v>
      </c>
      <c r="G19" s="39">
        <v>300000</v>
      </c>
      <c r="H19" s="40">
        <v>250000</v>
      </c>
    </row>
    <row r="20" spans="1:8" s="24" customFormat="1" ht="13.5" hidden="1" thickBot="1">
      <c r="A20" s="29">
        <v>16</v>
      </c>
      <c r="B20" s="30" t="s">
        <v>21</v>
      </c>
      <c r="C20" s="31">
        <v>500000</v>
      </c>
      <c r="D20" s="31">
        <v>500000</v>
      </c>
      <c r="E20" s="31">
        <v>500000</v>
      </c>
      <c r="F20" s="31">
        <v>500000</v>
      </c>
      <c r="G20" s="31">
        <v>500000</v>
      </c>
      <c r="H20" s="32">
        <v>500000</v>
      </c>
    </row>
    <row r="21" spans="1:8" s="24" customFormat="1" ht="12.75" hidden="1">
      <c r="A21" s="25">
        <v>17</v>
      </c>
      <c r="B21" s="26" t="s">
        <v>22</v>
      </c>
      <c r="C21" s="41">
        <v>0.12</v>
      </c>
      <c r="D21" s="41">
        <v>0.12</v>
      </c>
      <c r="E21" s="41">
        <v>0.12</v>
      </c>
      <c r="F21" s="41">
        <v>0.12</v>
      </c>
      <c r="G21" s="41">
        <v>0.12</v>
      </c>
      <c r="H21" s="42">
        <v>0.12</v>
      </c>
    </row>
    <row r="22" spans="1:8" s="24" customFormat="1" ht="13.5" hidden="1" thickBot="1">
      <c r="A22" s="29">
        <v>18</v>
      </c>
      <c r="B22" s="30" t="s">
        <v>23</v>
      </c>
      <c r="C22" s="43">
        <f aca="true" t="shared" si="11" ref="C22:H22">C9/C19</f>
        <v>0.12</v>
      </c>
      <c r="D22" s="43">
        <f t="shared" si="11"/>
        <v>0.12875</v>
      </c>
      <c r="E22" s="43">
        <f t="shared" si="11"/>
        <v>0.1390625</v>
      </c>
      <c r="F22" s="43">
        <f t="shared" si="11"/>
        <v>0.15053571428571427</v>
      </c>
      <c r="G22" s="43">
        <f t="shared" si="11"/>
        <v>0.16333333333333333</v>
      </c>
      <c r="H22" s="44">
        <f t="shared" si="11"/>
        <v>0.1775</v>
      </c>
    </row>
    <row r="23" spans="1:8" s="24" customFormat="1" ht="12.75">
      <c r="A23" s="25">
        <v>19</v>
      </c>
      <c r="B23" s="26" t="s">
        <v>85</v>
      </c>
      <c r="C23" s="27">
        <v>5000</v>
      </c>
      <c r="D23" s="27">
        <f>5000/(1+D18/D16)</f>
        <v>4515.575001104257</v>
      </c>
      <c r="E23" s="27">
        <f>5000/(1+E18/E16)</f>
        <v>4055.089015185561</v>
      </c>
      <c r="F23" s="27">
        <f>5000/(1+F18/F16)</f>
        <v>3595.6053057330028</v>
      </c>
      <c r="G23" s="27">
        <f>5000/(1+G18/G16)</f>
        <v>3114.7670009090057</v>
      </c>
      <c r="H23" s="28">
        <f>5000/(1+H18/H16)</f>
        <v>2588.484102584288</v>
      </c>
    </row>
    <row r="24" spans="1:8" s="24" customFormat="1" ht="13.5" thickBot="1">
      <c r="A24" s="29">
        <v>20</v>
      </c>
      <c r="B24" s="30" t="s">
        <v>7</v>
      </c>
      <c r="C24" s="30">
        <f aca="true" t="shared" si="12" ref="C24:H24">C16/C23</f>
        <v>100</v>
      </c>
      <c r="D24" s="148">
        <f t="shared" si="12"/>
        <v>103.2151522195925</v>
      </c>
      <c r="E24" s="148">
        <f t="shared" si="12"/>
        <v>105.83007458595473</v>
      </c>
      <c r="F24" s="149">
        <f t="shared" si="12"/>
        <v>106.80758095450528</v>
      </c>
      <c r="G24" s="148">
        <f t="shared" si="12"/>
        <v>106.08768258164072</v>
      </c>
      <c r="H24" s="150">
        <f t="shared" si="12"/>
        <v>103.66923156837207</v>
      </c>
    </row>
    <row r="25" spans="1:8" s="24" customFormat="1" ht="12.75">
      <c r="A25" s="25">
        <v>21</v>
      </c>
      <c r="B25" s="26" t="s">
        <v>9</v>
      </c>
      <c r="C25" s="26">
        <f aca="true" t="shared" si="13" ref="C25:H25">C9/C23</f>
        <v>12</v>
      </c>
      <c r="D25" s="45">
        <f t="shared" si="13"/>
        <v>12.830591892689574</v>
      </c>
      <c r="E25" s="45">
        <f t="shared" si="13"/>
        <v>13.71733143013498</v>
      </c>
      <c r="F25" s="45">
        <f t="shared" si="13"/>
        <v>14.653304665001068</v>
      </c>
      <c r="G25" s="45">
        <f t="shared" si="13"/>
        <v>15.731513781191326</v>
      </c>
      <c r="H25" s="46">
        <f t="shared" si="13"/>
        <v>17.143238374806682</v>
      </c>
    </row>
    <row r="26" spans="1:8" s="24" customFormat="1" ht="12.75">
      <c r="A26" s="25">
        <v>22</v>
      </c>
      <c r="B26" s="26" t="s">
        <v>24</v>
      </c>
      <c r="C26" s="47">
        <f aca="true" t="shared" si="14" ref="C26:H26">C24/C25</f>
        <v>8.333333333333334</v>
      </c>
      <c r="D26" s="47">
        <f t="shared" si="14"/>
        <v>8.044457580978856</v>
      </c>
      <c r="E26" s="47">
        <f t="shared" si="14"/>
        <v>7.715062884130762</v>
      </c>
      <c r="F26" s="47">
        <f t="shared" si="14"/>
        <v>7.288975654045578</v>
      </c>
      <c r="G26" s="47">
        <f t="shared" si="14"/>
        <v>6.743641079759258</v>
      </c>
      <c r="H26" s="48">
        <f t="shared" si="14"/>
        <v>6.04723735981657</v>
      </c>
    </row>
    <row r="27" spans="1:8" s="24" customFormat="1" ht="12.75" hidden="1">
      <c r="A27" s="25">
        <v>23</v>
      </c>
      <c r="B27" s="26" t="s">
        <v>25</v>
      </c>
      <c r="C27" s="49">
        <v>0</v>
      </c>
      <c r="D27" s="49">
        <v>0.1</v>
      </c>
      <c r="E27" s="49">
        <v>0.2</v>
      </c>
      <c r="F27" s="49">
        <v>0.3</v>
      </c>
      <c r="G27" s="49">
        <v>0.4</v>
      </c>
      <c r="H27" s="50">
        <v>0.5</v>
      </c>
    </row>
    <row r="28" spans="1:8" s="24" customFormat="1" ht="13.5" thickBot="1">
      <c r="A28" s="29">
        <v>24</v>
      </c>
      <c r="B28" s="30" t="s">
        <v>8</v>
      </c>
      <c r="C28" s="43">
        <f aca="true" t="shared" si="15" ref="C28:H28">C15/C17</f>
        <v>0</v>
      </c>
      <c r="D28" s="43">
        <f t="shared" si="15"/>
        <v>0.09725272206630935</v>
      </c>
      <c r="E28" s="43">
        <f t="shared" si="15"/>
        <v>0.19381773497672902</v>
      </c>
      <c r="F28" s="43">
        <f t="shared" si="15"/>
        <v>0.30061968913037496</v>
      </c>
      <c r="G28" s="43">
        <f t="shared" si="15"/>
        <v>0.41424421468517264</v>
      </c>
      <c r="H28" s="44">
        <f t="shared" si="15"/>
        <v>0.53142260942945</v>
      </c>
    </row>
    <row r="29" spans="1:8" s="24" customFormat="1" ht="13.5" thickBot="1">
      <c r="A29" s="51">
        <v>25</v>
      </c>
      <c r="B29" s="52" t="s">
        <v>26</v>
      </c>
      <c r="C29" s="53">
        <f aca="true" t="shared" si="16" ref="C29:H29">(C16*C14+C13*0.5*C15)/(C17)</f>
        <v>0.12</v>
      </c>
      <c r="D29" s="53">
        <f t="shared" si="16"/>
        <v>0.11621466121392388</v>
      </c>
      <c r="E29" s="53">
        <f t="shared" si="16"/>
        <v>0.1127132561278508</v>
      </c>
      <c r="F29" s="53">
        <f t="shared" si="16"/>
        <v>0.10926738775182347</v>
      </c>
      <c r="G29" s="53">
        <f t="shared" si="16"/>
        <v>0.10635975039818717</v>
      </c>
      <c r="H29" s="54">
        <f t="shared" si="16"/>
        <v>0.10477006140256091</v>
      </c>
    </row>
    <row r="30" spans="1:8" s="59" customFormat="1" ht="11.25" hidden="1">
      <c r="A30" s="55">
        <v>26</v>
      </c>
      <c r="B30" s="56" t="s">
        <v>27</v>
      </c>
      <c r="C30" s="57">
        <f aca="true" t="shared" si="17" ref="C30:H30">C5*0.5</f>
        <v>60000</v>
      </c>
      <c r="D30" s="57">
        <f t="shared" si="17"/>
        <v>60000</v>
      </c>
      <c r="E30" s="57">
        <f t="shared" si="17"/>
        <v>60000</v>
      </c>
      <c r="F30" s="57">
        <f t="shared" si="17"/>
        <v>60000</v>
      </c>
      <c r="G30" s="57">
        <f t="shared" si="17"/>
        <v>60000</v>
      </c>
      <c r="H30" s="58">
        <f t="shared" si="17"/>
        <v>60000</v>
      </c>
    </row>
    <row r="31" spans="1:8" s="59" customFormat="1" ht="12" hidden="1" thickBot="1">
      <c r="A31" s="60">
        <v>27</v>
      </c>
      <c r="B31" s="61" t="s">
        <v>28</v>
      </c>
      <c r="C31" s="62">
        <f aca="true" t="shared" si="18" ref="C31:H31">C30/C29</f>
        <v>500000</v>
      </c>
      <c r="D31" s="62">
        <f t="shared" si="18"/>
        <v>516285.977804075</v>
      </c>
      <c r="E31" s="62">
        <f t="shared" si="18"/>
        <v>532324.2541404528</v>
      </c>
      <c r="F31" s="62">
        <f t="shared" si="18"/>
        <v>549111.6904549474</v>
      </c>
      <c r="G31" s="62">
        <f t="shared" si="18"/>
        <v>564123.1741835929</v>
      </c>
      <c r="H31" s="63">
        <f t="shared" si="18"/>
        <v>572682.6843162794</v>
      </c>
    </row>
    <row r="32" spans="1:8" s="59" customFormat="1" ht="11.25" hidden="1">
      <c r="A32" s="55"/>
      <c r="B32" s="64" t="s">
        <v>29</v>
      </c>
      <c r="C32" s="56"/>
      <c r="D32" s="56"/>
      <c r="E32" s="56"/>
      <c r="F32" s="56"/>
      <c r="G32" s="56"/>
      <c r="H32" s="65"/>
    </row>
    <row r="33" spans="1:8" s="59" customFormat="1" ht="11.25" hidden="1">
      <c r="A33" s="55"/>
      <c r="B33" s="64"/>
      <c r="C33" s="56"/>
      <c r="D33" s="56"/>
      <c r="E33" s="56"/>
      <c r="F33" s="56"/>
      <c r="G33" s="56"/>
      <c r="H33" s="65"/>
    </row>
    <row r="34" spans="1:8" s="70" customFormat="1" ht="11.25" hidden="1">
      <c r="A34" s="66"/>
      <c r="B34" s="67" t="s">
        <v>69</v>
      </c>
      <c r="C34" s="67">
        <v>0</v>
      </c>
      <c r="D34" s="68">
        <f>C34+50000</f>
        <v>50000</v>
      </c>
      <c r="E34" s="68">
        <f>D34+50000</f>
        <v>100000</v>
      </c>
      <c r="F34" s="68">
        <f>E34+50000</f>
        <v>150000</v>
      </c>
      <c r="G34" s="68">
        <f>F34+50000</f>
        <v>200000</v>
      </c>
      <c r="H34" s="69">
        <f>G34+50000</f>
        <v>250000</v>
      </c>
    </row>
    <row r="35" spans="1:8" s="24" customFormat="1" ht="12.75" hidden="1">
      <c r="A35" s="71">
        <v>5</v>
      </c>
      <c r="B35" s="72" t="s">
        <v>70</v>
      </c>
      <c r="C35" s="73">
        <f aca="true" t="shared" si="19" ref="C35:H35">C8</f>
        <v>60000</v>
      </c>
      <c r="D35" s="73">
        <f t="shared" si="19"/>
        <v>57937.5</v>
      </c>
      <c r="E35" s="73">
        <f t="shared" si="19"/>
        <v>55625</v>
      </c>
      <c r="F35" s="73">
        <f t="shared" si="19"/>
        <v>52687.5</v>
      </c>
      <c r="G35" s="73">
        <f t="shared" si="19"/>
        <v>49000</v>
      </c>
      <c r="H35" s="74">
        <f t="shared" si="19"/>
        <v>44375</v>
      </c>
    </row>
    <row r="36" spans="1:8" s="24" customFormat="1" ht="12.75" hidden="1">
      <c r="A36" s="25">
        <v>3</v>
      </c>
      <c r="B36" s="26" t="s">
        <v>71</v>
      </c>
      <c r="C36" s="27">
        <f aca="true" t="shared" si="20" ref="C36:H36">C6</f>
        <v>0</v>
      </c>
      <c r="D36" s="27">
        <f t="shared" si="20"/>
        <v>4125</v>
      </c>
      <c r="E36" s="27">
        <f t="shared" si="20"/>
        <v>8750</v>
      </c>
      <c r="F36" s="27">
        <f t="shared" si="20"/>
        <v>14625</v>
      </c>
      <c r="G36" s="27">
        <f t="shared" si="20"/>
        <v>22000</v>
      </c>
      <c r="H36" s="28">
        <f t="shared" si="20"/>
        <v>31250</v>
      </c>
    </row>
    <row r="37" spans="1:8" s="24" customFormat="1" ht="12.75" hidden="1">
      <c r="A37" s="25">
        <v>7</v>
      </c>
      <c r="B37" s="26" t="s">
        <v>72</v>
      </c>
      <c r="C37" s="27">
        <f aca="true" t="shared" si="21" ref="C37:H37">C10</f>
        <v>60000</v>
      </c>
      <c r="D37" s="27">
        <f t="shared" si="21"/>
        <v>57937.5</v>
      </c>
      <c r="E37" s="27">
        <f t="shared" si="21"/>
        <v>55625</v>
      </c>
      <c r="F37" s="27">
        <f t="shared" si="21"/>
        <v>52687.5</v>
      </c>
      <c r="G37" s="27">
        <f t="shared" si="21"/>
        <v>49000</v>
      </c>
      <c r="H37" s="28">
        <f t="shared" si="21"/>
        <v>44375</v>
      </c>
    </row>
    <row r="38" spans="1:8" s="24" customFormat="1" ht="13.5" hidden="1" thickBot="1">
      <c r="A38" s="75">
        <v>2</v>
      </c>
      <c r="B38" s="76" t="s">
        <v>74</v>
      </c>
      <c r="C38" s="77">
        <f aca="true" t="shared" si="22" ref="C38:H38">SUM(C35:C37)</f>
        <v>120000</v>
      </c>
      <c r="D38" s="77">
        <f t="shared" si="22"/>
        <v>120000</v>
      </c>
      <c r="E38" s="77">
        <f t="shared" si="22"/>
        <v>120000</v>
      </c>
      <c r="F38" s="77">
        <f t="shared" si="22"/>
        <v>120000</v>
      </c>
      <c r="G38" s="77">
        <f t="shared" si="22"/>
        <v>120000</v>
      </c>
      <c r="H38" s="78">
        <f t="shared" si="22"/>
        <v>120000</v>
      </c>
    </row>
    <row r="39" spans="1:8" s="59" customFormat="1" ht="13.5" thickBot="1">
      <c r="A39" s="25">
        <v>28</v>
      </c>
      <c r="B39" s="26" t="s">
        <v>76</v>
      </c>
      <c r="C39" s="27">
        <f aca="true" t="shared" si="23" ref="C39:H39">C8/C14</f>
        <v>500000</v>
      </c>
      <c r="D39" s="27">
        <f t="shared" si="23"/>
        <v>466075.7610979625</v>
      </c>
      <c r="E39" s="27">
        <f t="shared" si="23"/>
        <v>429150.37292977364</v>
      </c>
      <c r="F39" s="27">
        <f t="shared" si="23"/>
        <v>384037.9047725264</v>
      </c>
      <c r="G39" s="27">
        <f t="shared" si="23"/>
        <v>330438.4129082036</v>
      </c>
      <c r="H39" s="28">
        <f t="shared" si="23"/>
        <v>268346.1578418603</v>
      </c>
    </row>
    <row r="40" spans="1:8" s="59" customFormat="1" ht="13.5" thickBot="1">
      <c r="A40" s="51">
        <v>29</v>
      </c>
      <c r="B40" s="76" t="s">
        <v>77</v>
      </c>
      <c r="C40" s="79">
        <f aca="true" t="shared" si="24" ref="C40:H40">C39+C15+C16</f>
        <v>1000000</v>
      </c>
      <c r="D40" s="79">
        <f t="shared" si="24"/>
        <v>982361.7389020375</v>
      </c>
      <c r="E40" s="79">
        <f t="shared" si="24"/>
        <v>961474.6270702265</v>
      </c>
      <c r="F40" s="79">
        <f t="shared" si="24"/>
        <v>933149.5952274739</v>
      </c>
      <c r="G40" s="79">
        <f t="shared" si="24"/>
        <v>894561.5870917966</v>
      </c>
      <c r="H40" s="80">
        <f t="shared" si="24"/>
        <v>841028.8421581397</v>
      </c>
    </row>
    <row r="41" spans="1:8" s="59" customFormat="1" ht="12.75">
      <c r="A41" s="25">
        <v>30</v>
      </c>
      <c r="B41" s="33" t="s">
        <v>75</v>
      </c>
      <c r="C41" s="81">
        <f aca="true" t="shared" si="25" ref="C41:H41">C85/C40</f>
        <v>0.12</v>
      </c>
      <c r="D41" s="81">
        <f t="shared" si="25"/>
        <v>0.12215459463447871</v>
      </c>
      <c r="E41" s="81">
        <f t="shared" si="25"/>
        <v>0.12480828575337449</v>
      </c>
      <c r="F41" s="81">
        <f t="shared" si="25"/>
        <v>0.12859674441668445</v>
      </c>
      <c r="G41" s="81">
        <f t="shared" si="25"/>
        <v>0.13414392226489158</v>
      </c>
      <c r="H41" s="82">
        <f t="shared" si="25"/>
        <v>0.14268238374806683</v>
      </c>
    </row>
    <row r="42" spans="1:8" s="88" customFormat="1" ht="12.75">
      <c r="A42" s="83">
        <v>31</v>
      </c>
      <c r="B42" s="84" t="s">
        <v>86</v>
      </c>
      <c r="C42" s="85"/>
      <c r="D42" s="86">
        <f>D41-C41</f>
        <v>0.0021545946344787154</v>
      </c>
      <c r="E42" s="86">
        <f>E41-D41</f>
        <v>0.002653691118895782</v>
      </c>
      <c r="F42" s="86">
        <f>F41-E41</f>
        <v>0.003788458663309957</v>
      </c>
      <c r="G42" s="86">
        <f>G41-F41</f>
        <v>0.00554717784820713</v>
      </c>
      <c r="H42" s="87">
        <f>H41-G41</f>
        <v>0.008538461483175247</v>
      </c>
    </row>
    <row r="43" spans="1:8" s="59" customFormat="1" ht="11.25" hidden="1">
      <c r="A43" s="55"/>
      <c r="B43" s="89"/>
      <c r="C43" s="57"/>
      <c r="D43" s="57"/>
      <c r="E43" s="57"/>
      <c r="F43" s="57"/>
      <c r="G43" s="57"/>
      <c r="H43" s="58"/>
    </row>
    <row r="44" spans="1:8" s="59" customFormat="1" ht="11.25" hidden="1">
      <c r="A44" s="55"/>
      <c r="B44" s="89"/>
      <c r="C44" s="57"/>
      <c r="D44" s="57"/>
      <c r="E44" s="57"/>
      <c r="F44" s="57"/>
      <c r="G44" s="57"/>
      <c r="H44" s="58"/>
    </row>
    <row r="45" spans="1:8" s="59" customFormat="1" ht="11.25" hidden="1">
      <c r="A45" s="55"/>
      <c r="B45" s="89"/>
      <c r="C45" s="57"/>
      <c r="D45" s="57"/>
      <c r="E45" s="57"/>
      <c r="F45" s="57"/>
      <c r="G45" s="57"/>
      <c r="H45" s="58"/>
    </row>
    <row r="46" spans="1:8" s="70" customFormat="1" ht="11.25" hidden="1">
      <c r="A46" s="66"/>
      <c r="B46" s="67" t="s">
        <v>69</v>
      </c>
      <c r="C46" s="67">
        <v>0</v>
      </c>
      <c r="D46" s="68">
        <f>C46+50000</f>
        <v>50000</v>
      </c>
      <c r="E46" s="68">
        <f>D46+50000</f>
        <v>100000</v>
      </c>
      <c r="F46" s="68">
        <f>E46+50000</f>
        <v>150000</v>
      </c>
      <c r="G46" s="68">
        <f>F46+50000</f>
        <v>200000</v>
      </c>
      <c r="H46" s="69">
        <f>G46+50000</f>
        <v>250000</v>
      </c>
    </row>
    <row r="47" spans="1:8" s="59" customFormat="1" ht="11.25">
      <c r="A47" s="90">
        <v>32</v>
      </c>
      <c r="B47" s="91" t="s">
        <v>78</v>
      </c>
      <c r="C47" s="92">
        <v>0</v>
      </c>
      <c r="D47" s="92">
        <f>($C40-D40)/2</f>
        <v>8819.130548981251</v>
      </c>
      <c r="E47" s="92">
        <f>($C40-E40)/2</f>
        <v>19262.686464886763</v>
      </c>
      <c r="F47" s="92">
        <f>($C40-F40)/2</f>
        <v>33425.20238626306</v>
      </c>
      <c r="G47" s="92">
        <f>($C40-G40)/2</f>
        <v>52719.20645410172</v>
      </c>
      <c r="H47" s="93">
        <f>($C40-H40)/2</f>
        <v>79485.57892093016</v>
      </c>
    </row>
    <row r="48" spans="1:8" s="59" customFormat="1" ht="12.75">
      <c r="A48" s="55">
        <v>33</v>
      </c>
      <c r="B48" s="94" t="s">
        <v>87</v>
      </c>
      <c r="C48" s="57"/>
      <c r="D48" s="57">
        <f>D47-C47</f>
        <v>8819.130548981251</v>
      </c>
      <c r="E48" s="57">
        <f>E47-D47</f>
        <v>10443.555915905512</v>
      </c>
      <c r="F48" s="57">
        <f>F47-E47</f>
        <v>14162.515921376296</v>
      </c>
      <c r="G48" s="57">
        <f>G47-F47</f>
        <v>19294.004067838658</v>
      </c>
      <c r="H48" s="58">
        <f>H47-G47</f>
        <v>26766.37246682844</v>
      </c>
    </row>
    <row r="49" spans="1:8" s="59" customFormat="1" ht="13.5" customHeight="1">
      <c r="A49" s="95">
        <v>34</v>
      </c>
      <c r="B49" s="96" t="s">
        <v>88</v>
      </c>
      <c r="C49" s="97"/>
      <c r="D49" s="97">
        <f>(D15-C15)*0.5</f>
        <v>25105.108353056232</v>
      </c>
      <c r="E49" s="97">
        <f>(E15-D15)*0.5</f>
        <v>26481.832252283384</v>
      </c>
      <c r="F49" s="97">
        <f>(F15-E15)*0.5</f>
        <v>30949.95223587087</v>
      </c>
      <c r="G49" s="97">
        <f>(G15-F15)*0.5</f>
        <v>34305.48779648416</v>
      </c>
      <c r="H49" s="98">
        <f>(H15-G15)*0.5</f>
        <v>35325.88259951491</v>
      </c>
    </row>
    <row r="50" spans="1:8" s="59" customFormat="1" ht="13.5" customHeight="1" hidden="1">
      <c r="A50" s="55"/>
      <c r="B50" s="99"/>
      <c r="C50" s="57"/>
      <c r="D50" s="57"/>
      <c r="E50" s="57"/>
      <c r="F50" s="57"/>
      <c r="G50" s="57"/>
      <c r="H50" s="58"/>
    </row>
    <row r="51" spans="1:8" s="59" customFormat="1" ht="13.5" customHeight="1" hidden="1">
      <c r="A51" s="55"/>
      <c r="B51" s="89" t="s">
        <v>30</v>
      </c>
      <c r="C51" s="57"/>
      <c r="D51" s="57"/>
      <c r="E51" s="57"/>
      <c r="F51" s="57"/>
      <c r="G51" s="57"/>
      <c r="H51" s="58"/>
    </row>
    <row r="52" spans="1:8" s="59" customFormat="1" ht="13.5" customHeight="1" hidden="1">
      <c r="A52" s="55">
        <v>30</v>
      </c>
      <c r="B52" s="89" t="s">
        <v>31</v>
      </c>
      <c r="C52" s="57">
        <f aca="true" t="shared" si="26" ref="C52:H52">1000000-C31</f>
        <v>500000</v>
      </c>
      <c r="D52" s="57">
        <f t="shared" si="26"/>
        <v>483714.022195925</v>
      </c>
      <c r="E52" s="57">
        <f t="shared" si="26"/>
        <v>467675.74585954717</v>
      </c>
      <c r="F52" s="57">
        <f t="shared" si="26"/>
        <v>450888.3095450526</v>
      </c>
      <c r="G52" s="57">
        <f t="shared" si="26"/>
        <v>435876.8258164071</v>
      </c>
      <c r="H52" s="58">
        <f t="shared" si="26"/>
        <v>427317.31568372063</v>
      </c>
    </row>
    <row r="53" spans="1:8" s="59" customFormat="1" ht="13.5" customHeight="1" hidden="1">
      <c r="A53" s="55">
        <v>31</v>
      </c>
      <c r="B53" s="100" t="s">
        <v>32</v>
      </c>
      <c r="C53" s="101">
        <f aca="true" t="shared" si="27" ref="C53:H53">C8/C52</f>
        <v>0.12</v>
      </c>
      <c r="D53" s="101">
        <f t="shared" si="27"/>
        <v>0.11977634995359472</v>
      </c>
      <c r="E53" s="101">
        <f t="shared" si="27"/>
        <v>0.11893924474908595</v>
      </c>
      <c r="F53" s="101">
        <f t="shared" si="27"/>
        <v>0.11685266369660774</v>
      </c>
      <c r="G53" s="101">
        <f t="shared" si="27"/>
        <v>0.11241708000470522</v>
      </c>
      <c r="H53" s="102">
        <f t="shared" si="27"/>
        <v>0.10384554608791983</v>
      </c>
    </row>
    <row r="54" spans="1:8" s="59" customFormat="1" ht="13.5" customHeight="1" hidden="1">
      <c r="A54" s="55"/>
      <c r="B54" s="56"/>
      <c r="C54" s="56"/>
      <c r="D54" s="56"/>
      <c r="E54" s="56"/>
      <c r="F54" s="56"/>
      <c r="G54" s="56"/>
      <c r="H54" s="65"/>
    </row>
    <row r="55" spans="1:8" s="59" customFormat="1" ht="13.5" customHeight="1" hidden="1">
      <c r="A55" s="55"/>
      <c r="B55" s="103" t="s">
        <v>33</v>
      </c>
      <c r="C55" s="56"/>
      <c r="D55" s="56"/>
      <c r="E55" s="56"/>
      <c r="F55" s="56"/>
      <c r="G55" s="56"/>
      <c r="H55" s="65"/>
    </row>
    <row r="56" spans="1:8" s="59" customFormat="1" ht="13.5" customHeight="1" hidden="1">
      <c r="A56" s="55">
        <v>32</v>
      </c>
      <c r="B56" s="56" t="s">
        <v>34</v>
      </c>
      <c r="C56" s="56"/>
      <c r="D56" s="104">
        <f>D12</f>
        <v>0.0825</v>
      </c>
      <c r="E56" s="104">
        <f>D56</f>
        <v>0.0825</v>
      </c>
      <c r="F56" s="104">
        <f>E56</f>
        <v>0.0825</v>
      </c>
      <c r="G56" s="104">
        <f>F56</f>
        <v>0.0825</v>
      </c>
      <c r="H56" s="105">
        <f>G56</f>
        <v>0.0825</v>
      </c>
    </row>
    <row r="57" spans="1:8" s="59" customFormat="1" ht="13.5" customHeight="1" hidden="1">
      <c r="A57" s="55">
        <v>33</v>
      </c>
      <c r="B57" s="56" t="s">
        <v>35</v>
      </c>
      <c r="C57" s="56"/>
      <c r="D57" s="104"/>
      <c r="E57" s="104">
        <f>(E6-D6)/50000</f>
        <v>0.0925</v>
      </c>
      <c r="F57" s="104">
        <f>E57</f>
        <v>0.0925</v>
      </c>
      <c r="G57" s="104">
        <f>F57</f>
        <v>0.0925</v>
      </c>
      <c r="H57" s="105">
        <f>G57</f>
        <v>0.0925</v>
      </c>
    </row>
    <row r="58" spans="1:8" s="59" customFormat="1" ht="13.5" customHeight="1" hidden="1">
      <c r="A58" s="55">
        <v>34</v>
      </c>
      <c r="B58" s="56" t="s">
        <v>35</v>
      </c>
      <c r="C58" s="56"/>
      <c r="D58" s="104"/>
      <c r="E58" s="104"/>
      <c r="F58" s="104">
        <f>(F6-E6)/50000</f>
        <v>0.1175</v>
      </c>
      <c r="G58" s="104">
        <f>F58</f>
        <v>0.1175</v>
      </c>
      <c r="H58" s="105">
        <f>G58</f>
        <v>0.1175</v>
      </c>
    </row>
    <row r="59" spans="1:8" s="59" customFormat="1" ht="13.5" customHeight="1" hidden="1">
      <c r="A59" s="55">
        <v>35</v>
      </c>
      <c r="B59" s="56" t="s">
        <v>35</v>
      </c>
      <c r="C59" s="56"/>
      <c r="D59" s="104"/>
      <c r="E59" s="104"/>
      <c r="F59" s="104"/>
      <c r="G59" s="104">
        <f>(G6-F6)/50000</f>
        <v>0.1475</v>
      </c>
      <c r="H59" s="106">
        <f>G59</f>
        <v>0.1475</v>
      </c>
    </row>
    <row r="60" spans="1:8" s="59" customFormat="1" ht="13.5" customHeight="1" hidden="1">
      <c r="A60" s="55">
        <v>36</v>
      </c>
      <c r="B60" s="56" t="s">
        <v>35</v>
      </c>
      <c r="C60" s="107"/>
      <c r="D60" s="104"/>
      <c r="E60" s="104"/>
      <c r="F60" s="104"/>
      <c r="G60" s="104"/>
      <c r="H60" s="106">
        <f>(H6-G6)/50000</f>
        <v>0.185</v>
      </c>
    </row>
    <row r="61" spans="1:8" s="59" customFormat="1" ht="13.5" customHeight="1" hidden="1">
      <c r="A61" s="55">
        <v>37</v>
      </c>
      <c r="B61" s="108" t="s">
        <v>36</v>
      </c>
      <c r="C61" s="109"/>
      <c r="D61" s="101">
        <f>AVERAGE(D56:D60)</f>
        <v>0.0825</v>
      </c>
      <c r="E61" s="101">
        <f>AVERAGE(E56:E60)</f>
        <v>0.0875</v>
      </c>
      <c r="F61" s="101">
        <f>AVERAGE(F56:F60)</f>
        <v>0.09749999999999999</v>
      </c>
      <c r="G61" s="101">
        <f>AVERAGE(G56:G60)</f>
        <v>0.10999999999999999</v>
      </c>
      <c r="H61" s="102">
        <f>AVERAGE(H56:H60)</f>
        <v>0.125</v>
      </c>
    </row>
    <row r="62" spans="1:8" s="59" customFormat="1" ht="13.5" customHeight="1" hidden="1">
      <c r="A62" s="55"/>
      <c r="B62" s="107"/>
      <c r="C62" s="107"/>
      <c r="D62" s="107"/>
      <c r="E62" s="107"/>
      <c r="F62" s="107"/>
      <c r="G62" s="107"/>
      <c r="H62" s="110"/>
    </row>
    <row r="63" spans="1:8" s="59" customFormat="1" ht="13.5" customHeight="1" hidden="1">
      <c r="A63" s="55"/>
      <c r="B63" s="56" t="s">
        <v>37</v>
      </c>
      <c r="C63" s="56"/>
      <c r="D63" s="56"/>
      <c r="E63" s="56"/>
      <c r="F63" s="56"/>
      <c r="G63" s="56"/>
      <c r="H63" s="65"/>
    </row>
    <row r="64" spans="1:8" s="59" customFormat="1" ht="13.5" customHeight="1" hidden="1">
      <c r="A64" s="55">
        <v>38</v>
      </c>
      <c r="B64" s="56"/>
      <c r="C64" s="56"/>
      <c r="D64" s="111">
        <f>D18/($C23-D23)</f>
        <v>103.21515221959248</v>
      </c>
      <c r="E64" s="111">
        <f>E18/($C23-E23)</f>
        <v>105.83007458595472</v>
      </c>
      <c r="F64" s="112">
        <f>F18/($C23-F23)</f>
        <v>106.80758095450528</v>
      </c>
      <c r="G64" s="111">
        <f>G18/($C23-G23)</f>
        <v>106.08768258164073</v>
      </c>
      <c r="H64" s="113">
        <f>H18/($C23-H23)</f>
        <v>103.66923156837206</v>
      </c>
    </row>
    <row r="65" spans="1:8" s="59" customFormat="1" ht="13.5" customHeight="1" hidden="1">
      <c r="A65" s="55"/>
      <c r="B65" s="56" t="s">
        <v>38</v>
      </c>
      <c r="C65" s="56"/>
      <c r="D65" s="56"/>
      <c r="E65" s="56"/>
      <c r="F65" s="56"/>
      <c r="G65" s="56"/>
      <c r="H65" s="65"/>
    </row>
    <row r="66" spans="1:8" s="59" customFormat="1" ht="13.5" customHeight="1" hidden="1">
      <c r="A66" s="55">
        <v>39</v>
      </c>
      <c r="B66" s="108"/>
      <c r="C66" s="108"/>
      <c r="D66" s="114">
        <f>50000/(C23-D23)</f>
        <v>103.21515221959248</v>
      </c>
      <c r="E66" s="114">
        <f>50000/(D23-E23)</f>
        <v>108.58093737694773</v>
      </c>
      <c r="F66" s="115">
        <f>50000/(E23-F23)</f>
        <v>108.81778607466062</v>
      </c>
      <c r="G66" s="114">
        <f>50000/(F23-G23)</f>
        <v>103.98506004695628</v>
      </c>
      <c r="H66" s="116">
        <f>50000/(G23-H23)</f>
        <v>95.00593722342444</v>
      </c>
    </row>
    <row r="67" spans="1:8" s="59" customFormat="1" ht="13.5" customHeight="1" hidden="1">
      <c r="A67" s="55"/>
      <c r="B67" s="56"/>
      <c r="C67" s="56"/>
      <c r="D67" s="56"/>
      <c r="E67" s="56"/>
      <c r="F67" s="56"/>
      <c r="G67" s="56"/>
      <c r="H67" s="65"/>
    </row>
    <row r="68" spans="1:8" s="59" customFormat="1" ht="13.5" customHeight="1" hidden="1">
      <c r="A68" s="55"/>
      <c r="B68" s="103" t="s">
        <v>39</v>
      </c>
      <c r="C68" s="56"/>
      <c r="D68" s="56"/>
      <c r="E68" s="56"/>
      <c r="F68" s="56"/>
      <c r="G68" s="56"/>
      <c r="H68" s="65"/>
    </row>
    <row r="69" spans="1:8" s="59" customFormat="1" ht="13.5" customHeight="1" hidden="1">
      <c r="A69" s="55">
        <v>40</v>
      </c>
      <c r="B69" s="56" t="s">
        <v>40</v>
      </c>
      <c r="C69" s="57">
        <f>C31</f>
        <v>500000</v>
      </c>
      <c r="D69" s="57">
        <f>C69</f>
        <v>500000</v>
      </c>
      <c r="E69" s="57">
        <f>D69</f>
        <v>500000</v>
      </c>
      <c r="F69" s="57">
        <f>E69</f>
        <v>500000</v>
      </c>
      <c r="G69" s="57">
        <f>F69</f>
        <v>500000</v>
      </c>
      <c r="H69" s="58">
        <f>G69</f>
        <v>500000</v>
      </c>
    </row>
    <row r="70" spans="1:8" s="59" customFormat="1" ht="13.5" customHeight="1" hidden="1">
      <c r="A70" s="55">
        <v>41</v>
      </c>
      <c r="B70" s="56" t="s">
        <v>41</v>
      </c>
      <c r="C70" s="117">
        <f aca="true" t="shared" si="28" ref="C70:H70">C31</f>
        <v>500000</v>
      </c>
      <c r="D70" s="117">
        <f t="shared" si="28"/>
        <v>516285.977804075</v>
      </c>
      <c r="E70" s="117">
        <f t="shared" si="28"/>
        <v>532324.2541404528</v>
      </c>
      <c r="F70" s="117">
        <f t="shared" si="28"/>
        <v>549111.6904549474</v>
      </c>
      <c r="G70" s="117">
        <f t="shared" si="28"/>
        <v>564123.1741835929</v>
      </c>
      <c r="H70" s="118">
        <f t="shared" si="28"/>
        <v>572682.6843162794</v>
      </c>
    </row>
    <row r="71" spans="1:8" s="59" customFormat="1" ht="13.5" customHeight="1" hidden="1">
      <c r="A71" s="55">
        <v>42</v>
      </c>
      <c r="B71" s="56" t="s">
        <v>42</v>
      </c>
      <c r="C71" s="57">
        <f aca="true" t="shared" si="29" ref="C71:H71">C70-C69</f>
        <v>0</v>
      </c>
      <c r="D71" s="57">
        <f t="shared" si="29"/>
        <v>16285.977804074995</v>
      </c>
      <c r="E71" s="57">
        <f t="shared" si="29"/>
        <v>32324.25414045283</v>
      </c>
      <c r="F71" s="57">
        <f t="shared" si="29"/>
        <v>49111.69045494741</v>
      </c>
      <c r="G71" s="57">
        <f t="shared" si="29"/>
        <v>64123.1741835929</v>
      </c>
      <c r="H71" s="58">
        <f t="shared" si="29"/>
        <v>72682.68431627937</v>
      </c>
    </row>
    <row r="72" spans="1:8" s="59" customFormat="1" ht="13.5" customHeight="1" hidden="1">
      <c r="A72" s="55">
        <v>43</v>
      </c>
      <c r="B72" s="56" t="s">
        <v>43</v>
      </c>
      <c r="C72" s="56">
        <v>0</v>
      </c>
      <c r="D72" s="57">
        <f>$C8-D8</f>
        <v>2062.5</v>
      </c>
      <c r="E72" s="57">
        <f>$C8-E8</f>
        <v>4375</v>
      </c>
      <c r="F72" s="57">
        <f>$C8-F8</f>
        <v>7312.5</v>
      </c>
      <c r="G72" s="57">
        <f>$C8-G8</f>
        <v>11000</v>
      </c>
      <c r="H72" s="58">
        <f>$C8-H8</f>
        <v>15625</v>
      </c>
    </row>
    <row r="73" spans="1:8" s="59" customFormat="1" ht="13.5" customHeight="1" hidden="1">
      <c r="A73" s="55">
        <v>44</v>
      </c>
      <c r="B73" s="108" t="s">
        <v>44</v>
      </c>
      <c r="C73" s="108"/>
      <c r="D73" s="119">
        <f>D72/D71</f>
        <v>0.12664268764285874</v>
      </c>
      <c r="E73" s="119">
        <f>E72/E71</f>
        <v>0.13534728383801498</v>
      </c>
      <c r="F73" s="119">
        <f>F72/F71</f>
        <v>0.14889530236610607</v>
      </c>
      <c r="G73" s="119">
        <f>G72/G71</f>
        <v>0.17154484537065467</v>
      </c>
      <c r="H73" s="120">
        <f>H72/H71</f>
        <v>0.21497554949962594</v>
      </c>
    </row>
    <row r="74" spans="1:8" s="59" customFormat="1" ht="13.5" customHeight="1" hidden="1">
      <c r="A74" s="55"/>
      <c r="B74" s="56"/>
      <c r="C74" s="56"/>
      <c r="D74" s="56"/>
      <c r="E74" s="56"/>
      <c r="F74" s="56"/>
      <c r="G74" s="56"/>
      <c r="H74" s="65"/>
    </row>
    <row r="75" spans="1:8" s="59" customFormat="1" ht="13.5" customHeight="1" hidden="1">
      <c r="A75" s="55">
        <v>45</v>
      </c>
      <c r="B75" s="89" t="s">
        <v>61</v>
      </c>
      <c r="C75" s="56"/>
      <c r="D75" s="56"/>
      <c r="E75" s="56"/>
      <c r="F75" s="56"/>
      <c r="G75" s="56"/>
      <c r="H75" s="65"/>
    </row>
    <row r="76" spans="1:8" s="59" customFormat="1" ht="13.5" customHeight="1" hidden="1">
      <c r="A76" s="55"/>
      <c r="B76" s="89" t="s">
        <v>45</v>
      </c>
      <c r="C76" s="56"/>
      <c r="D76" s="56"/>
      <c r="E76" s="56"/>
      <c r="F76" s="56"/>
      <c r="G76" s="56"/>
      <c r="H76" s="65"/>
    </row>
    <row r="77" spans="1:8" s="59" customFormat="1" ht="13.5" customHeight="1" hidden="1">
      <c r="A77" s="55">
        <v>46</v>
      </c>
      <c r="B77" s="100"/>
      <c r="C77" s="119">
        <f aca="true" t="shared" si="30" ref="C77:H77">(C14*C16+C12*C15*0.5)/(C16+C15*0.5)</f>
        <v>0.12</v>
      </c>
      <c r="D77" s="119">
        <f t="shared" si="30"/>
        <v>0.12217224890333658</v>
      </c>
      <c r="E77" s="119">
        <f t="shared" si="30"/>
        <v>0.1250971281191691</v>
      </c>
      <c r="F77" s="119">
        <f t="shared" si="30"/>
        <v>0.13017172672557972</v>
      </c>
      <c r="G77" s="119">
        <f t="shared" si="30"/>
        <v>0.1382859777630924</v>
      </c>
      <c r="H77" s="120">
        <f t="shared" si="30"/>
        <v>0.1507582849167752</v>
      </c>
    </row>
    <row r="78" spans="1:8" s="59" customFormat="1" ht="13.5" customHeight="1" hidden="1">
      <c r="A78" s="55"/>
      <c r="B78" s="107"/>
      <c r="C78" s="107"/>
      <c r="D78" s="107"/>
      <c r="E78" s="107"/>
      <c r="F78" s="107"/>
      <c r="G78" s="107"/>
      <c r="H78" s="110"/>
    </row>
    <row r="79" spans="1:8" s="59" customFormat="1" ht="13.5" customHeight="1" hidden="1" thickBot="1">
      <c r="A79" s="55"/>
      <c r="B79" s="61" t="s">
        <v>89</v>
      </c>
      <c r="C79" s="121"/>
      <c r="D79" s="121">
        <f>D41-C41</f>
        <v>0.0021545946344787154</v>
      </c>
      <c r="E79" s="121">
        <f>E41-D41</f>
        <v>0.002653691118895782</v>
      </c>
      <c r="F79" s="121">
        <f>F41-E41</f>
        <v>0.003788458663309957</v>
      </c>
      <c r="G79" s="122">
        <f>G41-F41</f>
        <v>0.00554717784820713</v>
      </c>
      <c r="H79" s="123">
        <f>H41-G41</f>
        <v>0.008538461483175247</v>
      </c>
    </row>
    <row r="80" spans="1:8" s="59" customFormat="1" ht="13.5" customHeight="1" hidden="1">
      <c r="A80" s="55"/>
      <c r="B80" s="56"/>
      <c r="C80" s="121"/>
      <c r="D80" s="121"/>
      <c r="E80" s="121"/>
      <c r="F80" s="121"/>
      <c r="G80" s="121"/>
      <c r="H80" s="124"/>
    </row>
    <row r="81" spans="1:8" s="59" customFormat="1" ht="13.5" customHeight="1" hidden="1">
      <c r="A81" s="55"/>
      <c r="B81" s="89" t="s">
        <v>46</v>
      </c>
      <c r="C81" s="56"/>
      <c r="D81" s="56"/>
      <c r="E81" s="56"/>
      <c r="F81" s="56"/>
      <c r="G81" s="56"/>
      <c r="H81" s="65"/>
    </row>
    <row r="82" spans="1:8" s="59" customFormat="1" ht="13.5" customHeight="1" hidden="1">
      <c r="A82" s="55">
        <v>47</v>
      </c>
      <c r="B82" s="56" t="s">
        <v>47</v>
      </c>
      <c r="C82" s="57">
        <f aca="true" t="shared" si="31" ref="C82:H82">C8</f>
        <v>60000</v>
      </c>
      <c r="D82" s="57">
        <f t="shared" si="31"/>
        <v>57937.5</v>
      </c>
      <c r="E82" s="57">
        <f t="shared" si="31"/>
        <v>55625</v>
      </c>
      <c r="F82" s="57">
        <f t="shared" si="31"/>
        <v>52687.5</v>
      </c>
      <c r="G82" s="57">
        <f t="shared" si="31"/>
        <v>49000</v>
      </c>
      <c r="H82" s="58">
        <f t="shared" si="31"/>
        <v>44375</v>
      </c>
    </row>
    <row r="83" spans="1:8" s="59" customFormat="1" ht="13.5" customHeight="1" hidden="1">
      <c r="A83" s="55">
        <v>48</v>
      </c>
      <c r="B83" s="56" t="s">
        <v>48</v>
      </c>
      <c r="C83" s="57">
        <f aca="true" t="shared" si="32" ref="C83:H83">C6</f>
        <v>0</v>
      </c>
      <c r="D83" s="57">
        <f t="shared" si="32"/>
        <v>4125</v>
      </c>
      <c r="E83" s="57">
        <f t="shared" si="32"/>
        <v>8750</v>
      </c>
      <c r="F83" s="57">
        <f t="shared" si="32"/>
        <v>14625</v>
      </c>
      <c r="G83" s="57">
        <f t="shared" si="32"/>
        <v>22000</v>
      </c>
      <c r="H83" s="58">
        <f t="shared" si="32"/>
        <v>31250</v>
      </c>
    </row>
    <row r="84" spans="1:8" s="59" customFormat="1" ht="13.5" customHeight="1" hidden="1">
      <c r="A84" s="55">
        <v>49</v>
      </c>
      <c r="B84" s="56" t="s">
        <v>49</v>
      </c>
      <c r="C84" s="117">
        <f aca="true" t="shared" si="33" ref="C84:H84">C10</f>
        <v>60000</v>
      </c>
      <c r="D84" s="117">
        <f t="shared" si="33"/>
        <v>57937.5</v>
      </c>
      <c r="E84" s="117">
        <f t="shared" si="33"/>
        <v>55625</v>
      </c>
      <c r="F84" s="117">
        <f t="shared" si="33"/>
        <v>52687.5</v>
      </c>
      <c r="G84" s="117">
        <f t="shared" si="33"/>
        <v>49000</v>
      </c>
      <c r="H84" s="118">
        <f t="shared" si="33"/>
        <v>44375</v>
      </c>
    </row>
    <row r="85" spans="1:8" s="59" customFormat="1" ht="13.5" customHeight="1" hidden="1" thickBot="1">
      <c r="A85" s="60">
        <v>50</v>
      </c>
      <c r="B85" s="61" t="s">
        <v>50</v>
      </c>
      <c r="C85" s="62">
        <f aca="true" t="shared" si="34" ref="C85:H85">SUM(C82:C84)</f>
        <v>120000</v>
      </c>
      <c r="D85" s="62">
        <f t="shared" si="34"/>
        <v>120000</v>
      </c>
      <c r="E85" s="62">
        <f t="shared" si="34"/>
        <v>120000</v>
      </c>
      <c r="F85" s="62">
        <f t="shared" si="34"/>
        <v>120000</v>
      </c>
      <c r="G85" s="62">
        <f t="shared" si="34"/>
        <v>120000</v>
      </c>
      <c r="H85" s="63">
        <f t="shared" si="34"/>
        <v>120000</v>
      </c>
    </row>
    <row r="86" spans="1:8" s="59" customFormat="1" ht="13.5" customHeight="1" hidden="1">
      <c r="A86" s="55"/>
      <c r="B86" s="107"/>
      <c r="C86" s="107"/>
      <c r="D86" s="107"/>
      <c r="E86" s="107"/>
      <c r="F86" s="107"/>
      <c r="G86" s="107"/>
      <c r="H86" s="110"/>
    </row>
    <row r="87" spans="1:8" s="70" customFormat="1" ht="13.5" customHeight="1" hidden="1">
      <c r="A87" s="66"/>
      <c r="B87" s="67" t="s">
        <v>69</v>
      </c>
      <c r="C87" s="67">
        <v>0</v>
      </c>
      <c r="D87" s="68">
        <f>C87+50000</f>
        <v>50000</v>
      </c>
      <c r="E87" s="68">
        <f>D87+50000</f>
        <v>100000</v>
      </c>
      <c r="F87" s="68">
        <f>E87+50000</f>
        <v>150000</v>
      </c>
      <c r="G87" s="68">
        <f>F87+50000</f>
        <v>200000</v>
      </c>
      <c r="H87" s="69">
        <f>G87+50000</f>
        <v>250000</v>
      </c>
    </row>
    <row r="88" spans="1:8" s="24" customFormat="1" ht="13.5" customHeight="1" hidden="1">
      <c r="A88" s="83">
        <v>10</v>
      </c>
      <c r="B88" s="125" t="s">
        <v>51</v>
      </c>
      <c r="C88" s="126">
        <f aca="true" t="shared" si="35" ref="C88:H88">C14</f>
        <v>0.12</v>
      </c>
      <c r="D88" s="126">
        <f t="shared" si="35"/>
        <v>0.12430918926895741</v>
      </c>
      <c r="E88" s="126">
        <f t="shared" si="35"/>
        <v>0.129616571506749</v>
      </c>
      <c r="F88" s="126">
        <f t="shared" si="35"/>
        <v>0.13719348883336893</v>
      </c>
      <c r="G88" s="126">
        <f t="shared" si="35"/>
        <v>0.1482878445297832</v>
      </c>
      <c r="H88" s="127">
        <f t="shared" si="35"/>
        <v>0.1653647674961336</v>
      </c>
    </row>
    <row r="89" spans="1:8" s="24" customFormat="1" ht="13.5" customHeight="1">
      <c r="A89" s="71"/>
      <c r="B89" s="128" t="s">
        <v>79</v>
      </c>
      <c r="C89" s="72"/>
      <c r="D89" s="72"/>
      <c r="E89" s="72"/>
      <c r="F89" s="72"/>
      <c r="G89" s="72"/>
      <c r="H89" s="129"/>
    </row>
    <row r="90" spans="1:8" s="24" customFormat="1" ht="12.75">
      <c r="A90" s="25">
        <v>41</v>
      </c>
      <c r="B90" s="26" t="s">
        <v>90</v>
      </c>
      <c r="C90" s="27">
        <f>C84-D84</f>
        <v>2062.5</v>
      </c>
      <c r="D90" s="27">
        <f>D84-E84</f>
        <v>2312.5</v>
      </c>
      <c r="E90" s="27">
        <f>E84-F84</f>
        <v>2937.5</v>
      </c>
      <c r="F90" s="27">
        <f>F84-G84</f>
        <v>3687.5</v>
      </c>
      <c r="G90" s="27">
        <f>G84-H84</f>
        <v>4625</v>
      </c>
      <c r="H90" s="130"/>
    </row>
    <row r="91" spans="1:8" s="24" customFormat="1" ht="12.75">
      <c r="A91" s="25">
        <v>42</v>
      </c>
      <c r="B91" s="26" t="s">
        <v>52</v>
      </c>
      <c r="C91" s="131">
        <f>C90/(C84/C88-D84/D88)</f>
        <v>0.06079723721896457</v>
      </c>
      <c r="D91" s="131">
        <f>D90/(D84/D88-E84/E88)</f>
        <v>0.06262628816431004</v>
      </c>
      <c r="E91" s="131">
        <f>E90/(E84/E88-F84/F88)</f>
        <v>0.06511503626360768</v>
      </c>
      <c r="F91" s="131">
        <f>F90/(F84/F88-G84/G88)</f>
        <v>0.06879729399924582</v>
      </c>
      <c r="G91" s="131">
        <f>G90/(G84/G88-H84/H88)</f>
        <v>0.0744859402361592</v>
      </c>
      <c r="H91" s="130"/>
    </row>
    <row r="92" spans="1:8" s="24" customFormat="1" ht="12.75" hidden="1">
      <c r="A92" s="25"/>
      <c r="B92" s="26"/>
      <c r="C92" s="131"/>
      <c r="D92" s="131"/>
      <c r="E92" s="131"/>
      <c r="F92" s="131"/>
      <c r="G92" s="131"/>
      <c r="H92" s="130"/>
    </row>
    <row r="93" spans="1:8" s="24" customFormat="1" ht="12.75" hidden="1">
      <c r="A93" s="83"/>
      <c r="B93" s="132" t="s">
        <v>2</v>
      </c>
      <c r="C93" s="133">
        <v>0</v>
      </c>
      <c r="D93" s="133">
        <v>0.1</v>
      </c>
      <c r="E93" s="133">
        <v>0.2</v>
      </c>
      <c r="F93" s="133">
        <v>0.3</v>
      </c>
      <c r="G93" s="133">
        <v>0.4</v>
      </c>
      <c r="H93" s="134">
        <v>0.5</v>
      </c>
    </row>
    <row r="94" spans="1:8" s="24" customFormat="1" ht="12.75">
      <c r="A94" s="71">
        <v>43</v>
      </c>
      <c r="B94" s="72" t="s">
        <v>55</v>
      </c>
      <c r="C94" s="135">
        <f aca="true" t="shared" si="36" ref="C94:H94">C14-C13</f>
        <v>0.039999999999999994</v>
      </c>
      <c r="D94" s="135">
        <f t="shared" si="36"/>
        <v>0.04215459463447871</v>
      </c>
      <c r="E94" s="135">
        <f t="shared" si="36"/>
        <v>0.04480828575337449</v>
      </c>
      <c r="F94" s="135">
        <f t="shared" si="36"/>
        <v>0.04859674441668446</v>
      </c>
      <c r="G94" s="135">
        <f t="shared" si="36"/>
        <v>0.05414392226489159</v>
      </c>
      <c r="H94" s="136">
        <f t="shared" si="36"/>
        <v>0.06268238374806678</v>
      </c>
    </row>
    <row r="95" spans="1:8" s="24" customFormat="1" ht="12.75">
      <c r="A95" s="137">
        <v>44</v>
      </c>
      <c r="B95" s="138" t="s">
        <v>56</v>
      </c>
      <c r="C95" s="139">
        <f aca="true" t="shared" si="37" ref="C95:H95">C14-C13*0.5</f>
        <v>0.07999999999999999</v>
      </c>
      <c r="D95" s="139">
        <f t="shared" si="37"/>
        <v>0.08323189195171807</v>
      </c>
      <c r="E95" s="139">
        <f t="shared" si="37"/>
        <v>0.08721242863006173</v>
      </c>
      <c r="F95" s="139">
        <f t="shared" si="37"/>
        <v>0.0928951166250267</v>
      </c>
      <c r="G95" s="139">
        <f t="shared" si="37"/>
        <v>0.10121588339733739</v>
      </c>
      <c r="H95" s="140">
        <f t="shared" si="37"/>
        <v>0.11402357562210019</v>
      </c>
    </row>
    <row r="96" spans="1:8" s="59" customFormat="1" ht="12.75">
      <c r="A96" s="83">
        <v>45</v>
      </c>
      <c r="B96" s="125" t="s">
        <v>84</v>
      </c>
      <c r="C96" s="125">
        <f aca="true" t="shared" si="38" ref="C96:H96">C66</f>
        <v>0</v>
      </c>
      <c r="D96" s="141">
        <f t="shared" si="38"/>
        <v>103.21515221959248</v>
      </c>
      <c r="E96" s="141">
        <f t="shared" si="38"/>
        <v>108.58093737694773</v>
      </c>
      <c r="F96" s="142">
        <f t="shared" si="38"/>
        <v>108.81778607466062</v>
      </c>
      <c r="G96" s="141">
        <f t="shared" si="38"/>
        <v>103.98506004695628</v>
      </c>
      <c r="H96" s="143">
        <f t="shared" si="38"/>
        <v>95.00593722342444</v>
      </c>
    </row>
    <row r="97" spans="1:8" s="59" customFormat="1" ht="11.25" hidden="1">
      <c r="A97" s="55"/>
      <c r="B97" s="107"/>
      <c r="C97" s="107"/>
      <c r="D97" s="107"/>
      <c r="E97" s="107"/>
      <c r="F97" s="107"/>
      <c r="G97" s="107"/>
      <c r="H97" s="110"/>
    </row>
    <row r="98" spans="1:8" s="59" customFormat="1" ht="11.25">
      <c r="A98" s="90">
        <v>46</v>
      </c>
      <c r="B98" s="91" t="s">
        <v>80</v>
      </c>
      <c r="C98" s="144">
        <v>0</v>
      </c>
      <c r="D98" s="144">
        <f>(D6-D100*D15)/(D6+D15)</f>
        <v>0.00013361735485450122</v>
      </c>
      <c r="E98" s="144">
        <f>(E6-E100*E15)/(E6+E15)</f>
        <v>0.0005976039839373828</v>
      </c>
      <c r="F98" s="144">
        <f>(F6-F100*F15)/(F6+F15)</f>
        <v>0.0017056310577884337</v>
      </c>
      <c r="G98" s="144">
        <f>(G6-G100*G15)/(G6+G15)</f>
        <v>0.003970156189232967</v>
      </c>
      <c r="H98" s="145">
        <f>(H6-H100*H15)/(H6+H15)</f>
        <v>0.00842707191574204</v>
      </c>
    </row>
    <row r="99" spans="1:8" s="59" customFormat="1" ht="12" thickBot="1">
      <c r="A99" s="60">
        <v>47</v>
      </c>
      <c r="B99" s="61" t="s">
        <v>81</v>
      </c>
      <c r="C99" s="146">
        <f aca="true" t="shared" si="39" ref="C99:H99">(C10-C16*C101)/(C10+C16)</f>
        <v>0</v>
      </c>
      <c r="D99" s="146">
        <f t="shared" si="39"/>
        <v>0.0020449795224500335</v>
      </c>
      <c r="E99" s="146">
        <f t="shared" si="39"/>
        <v>0.004830463401816685</v>
      </c>
      <c r="F99" s="146">
        <f t="shared" si="39"/>
        <v>0.009192357269028206</v>
      </c>
      <c r="G99" s="146">
        <f t="shared" si="39"/>
        <v>0.01610035725611454</v>
      </c>
      <c r="H99" s="147">
        <f t="shared" si="39"/>
        <v>0.027437561515467508</v>
      </c>
    </row>
    <row r="100" spans="1:8" s="14" customFormat="1" ht="12.75">
      <c r="A100" s="16"/>
      <c r="B100" s="15" t="s">
        <v>82</v>
      </c>
      <c r="C100" s="17">
        <v>0.08</v>
      </c>
      <c r="D100" s="17">
        <v>0.08201</v>
      </c>
      <c r="E100" s="17">
        <v>0.08416</v>
      </c>
      <c r="F100" s="17">
        <v>0.08674</v>
      </c>
      <c r="G100" s="17">
        <v>0.0898</v>
      </c>
      <c r="H100" s="17">
        <v>0.09339</v>
      </c>
    </row>
    <row r="101" spans="1:8" s="14" customFormat="1" ht="12.75">
      <c r="A101" s="16"/>
      <c r="B101" s="15" t="s">
        <v>83</v>
      </c>
      <c r="C101" s="17">
        <v>0.12</v>
      </c>
      <c r="D101" s="17">
        <f>C101+D100-C100</f>
        <v>0.12201</v>
      </c>
      <c r="E101" s="17">
        <f>D101+E100-D100</f>
        <v>0.12415999999999999</v>
      </c>
      <c r="F101" s="17">
        <f>E101+F100-E100</f>
        <v>0.12673999999999996</v>
      </c>
      <c r="G101" s="17">
        <f>F101+G100-F100</f>
        <v>0.12979999999999997</v>
      </c>
      <c r="H101" s="17">
        <f>G101+H100-G100</f>
        <v>0.13338999999999995</v>
      </c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4" t="s">
        <v>54</v>
      </c>
      <c r="D130" s="6">
        <f>D12-C12</f>
        <v>0.0025000000000000022</v>
      </c>
      <c r="E130" s="6">
        <f>E12-D12</f>
        <v>0.0049999999999999906</v>
      </c>
      <c r="F130" s="6">
        <f>F12-E12</f>
        <v>0.010000000000000009</v>
      </c>
      <c r="G130" s="6">
        <f>G12-F12</f>
        <v>0.012499999999999997</v>
      </c>
      <c r="H130" s="6">
        <f>H12-G12</f>
        <v>0.015</v>
      </c>
    </row>
    <row r="131" spans="2:8" ht="12.75">
      <c r="B131" s="4" t="s">
        <v>53</v>
      </c>
      <c r="D131" s="6">
        <f>D14-C14</f>
        <v>0.004309189268957417</v>
      </c>
      <c r="E131" s="6">
        <f>E14-D14</f>
        <v>0.0053073822377915775</v>
      </c>
      <c r="F131" s="6">
        <f>F14-E14</f>
        <v>0.007576917326619942</v>
      </c>
      <c r="G131" s="6">
        <f>G14-F14</f>
        <v>0.01109435569641426</v>
      </c>
      <c r="H131" s="6">
        <f>H14-G14</f>
        <v>0.01707692296635041</v>
      </c>
    </row>
    <row r="132" spans="2:8" ht="12.75">
      <c r="B132" s="7" t="s">
        <v>55</v>
      </c>
      <c r="C132" s="6">
        <f aca="true" t="shared" si="40" ref="C132:H132">C14-C12</f>
        <v>0.039999999999999994</v>
      </c>
      <c r="D132" s="6">
        <f t="shared" si="40"/>
        <v>0.04180918926895741</v>
      </c>
      <c r="E132" s="6">
        <f t="shared" si="40"/>
        <v>0.042116571506748995</v>
      </c>
      <c r="F132" s="6">
        <f t="shared" si="40"/>
        <v>0.03969348883336893</v>
      </c>
      <c r="G132" s="6">
        <f t="shared" si="40"/>
        <v>0.03828784452978319</v>
      </c>
      <c r="H132" s="6">
        <f t="shared" si="40"/>
        <v>0.0403647674961336</v>
      </c>
    </row>
    <row r="133" spans="1:8" s="12" customFormat="1" ht="13.5" thickBot="1">
      <c r="A133" s="5"/>
      <c r="B133" s="10" t="s">
        <v>56</v>
      </c>
      <c r="C133" s="11">
        <f aca="true" t="shared" si="41" ref="C133:H133">C14-C12*0.5</f>
        <v>0.07999999999999999</v>
      </c>
      <c r="D133" s="11">
        <f t="shared" si="41"/>
        <v>0.08305918926895742</v>
      </c>
      <c r="E133" s="11">
        <f t="shared" si="41"/>
        <v>0.08586657150674899</v>
      </c>
      <c r="F133" s="11">
        <f t="shared" si="41"/>
        <v>0.08844348883336893</v>
      </c>
      <c r="G133" s="11">
        <f t="shared" si="41"/>
        <v>0.0932878445297832</v>
      </c>
      <c r="H133" s="11">
        <f t="shared" si="41"/>
        <v>0.1028647674961336</v>
      </c>
    </row>
    <row r="134" spans="2:8" ht="12.75">
      <c r="B134" s="7" t="s">
        <v>58</v>
      </c>
      <c r="C134" s="8"/>
      <c r="D134" s="8"/>
      <c r="E134" s="8"/>
      <c r="F134" s="8"/>
      <c r="G134" s="8"/>
      <c r="H134" s="8"/>
    </row>
    <row r="135" spans="2:8" ht="12.75">
      <c r="B135" s="7" t="s">
        <v>59</v>
      </c>
      <c r="C135" s="8"/>
      <c r="D135" s="8">
        <f>D14-D12*0.5</f>
        <v>0.08305918926895742</v>
      </c>
      <c r="E135" s="8">
        <f>E14-E12*0.5</f>
        <v>0.08586657150674899</v>
      </c>
      <c r="F135" s="8">
        <f>F14-F12*0.5</f>
        <v>0.08844348883336893</v>
      </c>
      <c r="G135" s="13">
        <f>G14-G12*0.5</f>
        <v>0.0932878445297832</v>
      </c>
      <c r="H135" s="13">
        <f>H14-H12*0.5</f>
        <v>0.1028647674961336</v>
      </c>
    </row>
    <row r="136" spans="2:8" ht="12.75">
      <c r="B136" s="7" t="s">
        <v>60</v>
      </c>
      <c r="C136" s="8"/>
      <c r="D136" s="8">
        <f>(C16*(D14-C14)+C15*0.5*(D12-C12))/50000</f>
        <v>0.04309189268957417</v>
      </c>
      <c r="E136" s="8">
        <f>(D16*(E14-D14)+D15*0.5*(E12-D12))/50000</f>
        <v>0.05198335515363596</v>
      </c>
      <c r="F136" s="8">
        <f>(E16*(F14-E14)+E15*0.5*(F12-E12))/50000</f>
        <v>0.07535012604860816</v>
      </c>
      <c r="G136" s="13">
        <f>(F16*(G14-F14)+F15*0.5*(G12-F12))/50000</f>
        <v>0.10584728553934412</v>
      </c>
      <c r="H136" s="13">
        <f>(G16*(H14-G14)+G15*0.5*(H12-G12))/50000</f>
        <v>0.14791014063843802</v>
      </c>
    </row>
    <row r="137" spans="2:8" ht="12.75">
      <c r="B137" s="7"/>
      <c r="C137" s="8"/>
      <c r="D137" s="8"/>
      <c r="E137" s="8"/>
      <c r="F137" s="8"/>
      <c r="G137" s="8"/>
      <c r="H137" s="8"/>
    </row>
    <row r="139" ht="12.75">
      <c r="B139" s="9" t="s">
        <v>57</v>
      </c>
    </row>
    <row r="140" spans="1:8" ht="12.75">
      <c r="A140" s="4">
        <v>9</v>
      </c>
      <c r="B140" s="1" t="s">
        <v>17</v>
      </c>
      <c r="C140" s="3">
        <v>0.08</v>
      </c>
      <c r="D140" s="3">
        <v>0.0825</v>
      </c>
      <c r="E140" s="3">
        <v>0.0875</v>
      </c>
      <c r="F140" s="3">
        <v>0.0975</v>
      </c>
      <c r="G140" s="3">
        <v>0.11</v>
      </c>
      <c r="H140" s="3">
        <v>0.125</v>
      </c>
    </row>
    <row r="141" spans="1:8" ht="12.75">
      <c r="A141" s="4">
        <v>10</v>
      </c>
      <c r="B141" s="1" t="s">
        <v>18</v>
      </c>
      <c r="C141" s="3">
        <v>0.12</v>
      </c>
      <c r="D141" s="3">
        <v>0.125</v>
      </c>
      <c r="E141" s="3">
        <v>0.1325</v>
      </c>
      <c r="F141" s="3">
        <v>0.145</v>
      </c>
      <c r="G141" s="3">
        <v>0.16</v>
      </c>
      <c r="H141" s="3">
        <v>0.18</v>
      </c>
    </row>
    <row r="143" spans="7:8" ht="12.75">
      <c r="G143" s="151"/>
      <c r="H143" s="151"/>
    </row>
    <row r="144" spans="4:9" ht="12.75">
      <c r="D144" s="151" t="s">
        <v>62</v>
      </c>
      <c r="E144" s="151"/>
      <c r="F144" s="151"/>
      <c r="G144" s="151" t="s">
        <v>66</v>
      </c>
      <c r="H144" s="151"/>
      <c r="I144" s="151"/>
    </row>
    <row r="145" spans="4:9" ht="12.75">
      <c r="D145" t="s">
        <v>63</v>
      </c>
      <c r="E145" t="s">
        <v>68</v>
      </c>
      <c r="F145" t="s">
        <v>65</v>
      </c>
      <c r="G145" t="s">
        <v>63</v>
      </c>
      <c r="H145" t="s">
        <v>68</v>
      </c>
      <c r="I145" t="s">
        <v>65</v>
      </c>
    </row>
    <row r="146" spans="2:10" ht="12.75">
      <c r="B146">
        <v>0</v>
      </c>
      <c r="C146" t="s">
        <v>64</v>
      </c>
      <c r="J146" t="s">
        <v>67</v>
      </c>
    </row>
    <row r="147" spans="2:10" ht="12.75">
      <c r="B147">
        <f>B146+1</f>
        <v>1</v>
      </c>
      <c r="C147">
        <v>0.06</v>
      </c>
      <c r="D147">
        <v>110</v>
      </c>
      <c r="E147">
        <v>0.1</v>
      </c>
      <c r="F147">
        <f>D147/E147</f>
        <v>1100</v>
      </c>
      <c r="G147">
        <v>200</v>
      </c>
      <c r="H147">
        <v>0.17</v>
      </c>
      <c r="I147">
        <f>G147/H147</f>
        <v>1176.4705882352941</v>
      </c>
      <c r="J147">
        <f>(I147+F147)/2</f>
        <v>1138.235294117647</v>
      </c>
    </row>
    <row r="148" spans="2:10" ht="12.75">
      <c r="B148">
        <f aca="true" t="shared" si="42" ref="B148:B160">B147+1</f>
        <v>2</v>
      </c>
      <c r="C148">
        <v>0.06</v>
      </c>
      <c r="D148">
        <v>120</v>
      </c>
      <c r="E148">
        <v>0.1</v>
      </c>
      <c r="F148">
        <f aca="true" t="shared" si="43" ref="F148:F160">D148/E148</f>
        <v>1200</v>
      </c>
      <c r="G148">
        <v>200</v>
      </c>
      <c r="H148">
        <v>0.17</v>
      </c>
      <c r="I148">
        <f aca="true" t="shared" si="44" ref="I148:I160">G148/H148</f>
        <v>1176.4705882352941</v>
      </c>
      <c r="J148">
        <f aca="true" t="shared" si="45" ref="J148:J160">(I148+F148)/2</f>
        <v>1188.235294117647</v>
      </c>
    </row>
    <row r="149" spans="2:10" ht="12.75">
      <c r="B149">
        <f t="shared" si="42"/>
        <v>3</v>
      </c>
      <c r="C149">
        <v>0.06</v>
      </c>
      <c r="D149">
        <v>110</v>
      </c>
      <c r="E149">
        <v>0.1</v>
      </c>
      <c r="F149">
        <f t="shared" si="43"/>
        <v>1100</v>
      </c>
      <c r="G149">
        <v>200</v>
      </c>
      <c r="H149">
        <v>0.17</v>
      </c>
      <c r="I149">
        <f t="shared" si="44"/>
        <v>1176.4705882352941</v>
      </c>
      <c r="J149">
        <f t="shared" si="45"/>
        <v>1138.235294117647</v>
      </c>
    </row>
    <row r="150" spans="2:10" ht="12.75">
      <c r="B150">
        <f t="shared" si="42"/>
        <v>4</v>
      </c>
      <c r="C150">
        <v>0.06</v>
      </c>
      <c r="D150">
        <v>120</v>
      </c>
      <c r="E150">
        <v>0.1</v>
      </c>
      <c r="F150">
        <f t="shared" si="43"/>
        <v>1200</v>
      </c>
      <c r="G150">
        <v>200</v>
      </c>
      <c r="H150">
        <v>0.17</v>
      </c>
      <c r="I150">
        <f t="shared" si="44"/>
        <v>1176.4705882352941</v>
      </c>
      <c r="J150">
        <f t="shared" si="45"/>
        <v>1188.235294117647</v>
      </c>
    </row>
    <row r="151" spans="2:10" ht="12.75">
      <c r="B151">
        <f t="shared" si="42"/>
        <v>5</v>
      </c>
      <c r="C151">
        <v>0.06</v>
      </c>
      <c r="D151">
        <v>110</v>
      </c>
      <c r="E151">
        <v>0.1</v>
      </c>
      <c r="F151">
        <f t="shared" si="43"/>
        <v>1100</v>
      </c>
      <c r="G151">
        <v>200</v>
      </c>
      <c r="H151">
        <v>0.17</v>
      </c>
      <c r="I151">
        <f t="shared" si="44"/>
        <v>1176.4705882352941</v>
      </c>
      <c r="J151">
        <f t="shared" si="45"/>
        <v>1138.235294117647</v>
      </c>
    </row>
    <row r="152" spans="2:10" ht="12.75">
      <c r="B152">
        <f t="shared" si="42"/>
        <v>6</v>
      </c>
      <c r="C152">
        <v>0.06</v>
      </c>
      <c r="D152">
        <v>120</v>
      </c>
      <c r="E152">
        <v>0.1</v>
      </c>
      <c r="F152">
        <f t="shared" si="43"/>
        <v>1200</v>
      </c>
      <c r="G152">
        <v>200</v>
      </c>
      <c r="H152">
        <v>0.17</v>
      </c>
      <c r="I152">
        <f t="shared" si="44"/>
        <v>1176.4705882352941</v>
      </c>
      <c r="J152">
        <f t="shared" si="45"/>
        <v>1188.235294117647</v>
      </c>
    </row>
    <row r="153" spans="2:10" ht="12.75">
      <c r="B153">
        <f t="shared" si="42"/>
        <v>7</v>
      </c>
      <c r="C153">
        <v>0.06</v>
      </c>
      <c r="D153">
        <v>110</v>
      </c>
      <c r="E153">
        <v>0.1</v>
      </c>
      <c r="F153">
        <f t="shared" si="43"/>
        <v>1100</v>
      </c>
      <c r="G153">
        <v>200</v>
      </c>
      <c r="H153">
        <v>0.17</v>
      </c>
      <c r="I153">
        <f t="shared" si="44"/>
        <v>1176.4705882352941</v>
      </c>
      <c r="J153">
        <f t="shared" si="45"/>
        <v>1138.235294117647</v>
      </c>
    </row>
    <row r="154" spans="2:10" ht="12.75">
      <c r="B154">
        <f t="shared" si="42"/>
        <v>8</v>
      </c>
      <c r="C154">
        <v>0.06</v>
      </c>
      <c r="D154">
        <v>120</v>
      </c>
      <c r="E154">
        <v>0.1</v>
      </c>
      <c r="F154">
        <f t="shared" si="43"/>
        <v>1200</v>
      </c>
      <c r="G154">
        <v>200</v>
      </c>
      <c r="H154">
        <v>0.17</v>
      </c>
      <c r="I154">
        <f t="shared" si="44"/>
        <v>1176.4705882352941</v>
      </c>
      <c r="J154">
        <f t="shared" si="45"/>
        <v>1188.235294117647</v>
      </c>
    </row>
    <row r="155" spans="2:10" ht="12.75">
      <c r="B155">
        <f t="shared" si="42"/>
        <v>9</v>
      </c>
      <c r="C155">
        <v>0.06</v>
      </c>
      <c r="D155">
        <v>110</v>
      </c>
      <c r="E155">
        <v>0.1</v>
      </c>
      <c r="F155">
        <f t="shared" si="43"/>
        <v>1100</v>
      </c>
      <c r="G155">
        <v>200</v>
      </c>
      <c r="H155">
        <v>0.17</v>
      </c>
      <c r="I155">
        <f t="shared" si="44"/>
        <v>1176.4705882352941</v>
      </c>
      <c r="J155">
        <f t="shared" si="45"/>
        <v>1138.235294117647</v>
      </c>
    </row>
    <row r="156" spans="2:10" ht="12.75">
      <c r="B156">
        <f t="shared" si="42"/>
        <v>10</v>
      </c>
      <c r="C156">
        <v>0.06</v>
      </c>
      <c r="D156">
        <v>120</v>
      </c>
      <c r="E156">
        <v>0.1</v>
      </c>
      <c r="F156">
        <f t="shared" si="43"/>
        <v>1200</v>
      </c>
      <c r="G156">
        <v>200</v>
      </c>
      <c r="H156">
        <v>0.17</v>
      </c>
      <c r="I156">
        <f t="shared" si="44"/>
        <v>1176.4705882352941</v>
      </c>
      <c r="J156">
        <f t="shared" si="45"/>
        <v>1188.235294117647</v>
      </c>
    </row>
    <row r="157" spans="2:10" ht="12.75">
      <c r="B157">
        <f t="shared" si="42"/>
        <v>11</v>
      </c>
      <c r="C157">
        <v>0.06</v>
      </c>
      <c r="D157">
        <v>110</v>
      </c>
      <c r="E157">
        <v>0.1</v>
      </c>
      <c r="F157">
        <f t="shared" si="43"/>
        <v>1100</v>
      </c>
      <c r="G157">
        <v>200</v>
      </c>
      <c r="H157">
        <v>0.17</v>
      </c>
      <c r="I157">
        <f t="shared" si="44"/>
        <v>1176.4705882352941</v>
      </c>
      <c r="J157">
        <f t="shared" si="45"/>
        <v>1138.235294117647</v>
      </c>
    </row>
    <row r="158" spans="2:10" ht="12.75">
      <c r="B158">
        <f t="shared" si="42"/>
        <v>12</v>
      </c>
      <c r="C158">
        <v>0.06</v>
      </c>
      <c r="D158">
        <v>120</v>
      </c>
      <c r="E158">
        <v>0.1</v>
      </c>
      <c r="F158">
        <f t="shared" si="43"/>
        <v>1200</v>
      </c>
      <c r="G158">
        <v>200</v>
      </c>
      <c r="H158">
        <v>0.17</v>
      </c>
      <c r="I158">
        <f t="shared" si="44"/>
        <v>1176.4705882352941</v>
      </c>
      <c r="J158">
        <f t="shared" si="45"/>
        <v>1188.235294117647</v>
      </c>
    </row>
    <row r="159" spans="2:10" ht="12.75">
      <c r="B159">
        <f t="shared" si="42"/>
        <v>13</v>
      </c>
      <c r="C159">
        <v>0.06</v>
      </c>
      <c r="D159">
        <v>110</v>
      </c>
      <c r="E159">
        <v>0.1</v>
      </c>
      <c r="F159">
        <f t="shared" si="43"/>
        <v>1100</v>
      </c>
      <c r="G159">
        <v>200</v>
      </c>
      <c r="H159">
        <v>0.17</v>
      </c>
      <c r="I159">
        <f t="shared" si="44"/>
        <v>1176.4705882352941</v>
      </c>
      <c r="J159">
        <f t="shared" si="45"/>
        <v>1138.235294117647</v>
      </c>
    </row>
    <row r="160" spans="2:10" ht="12.75">
      <c r="B160">
        <f t="shared" si="42"/>
        <v>14</v>
      </c>
      <c r="C160">
        <v>0.06</v>
      </c>
      <c r="D160">
        <v>120</v>
      </c>
      <c r="E160">
        <v>0.1</v>
      </c>
      <c r="F160">
        <f t="shared" si="43"/>
        <v>1200</v>
      </c>
      <c r="G160">
        <v>200</v>
      </c>
      <c r="H160">
        <v>0.17</v>
      </c>
      <c r="I160">
        <f t="shared" si="44"/>
        <v>1176.4705882352941</v>
      </c>
      <c r="J160">
        <f t="shared" si="45"/>
        <v>1188.235294117647</v>
      </c>
    </row>
  </sheetData>
  <mergeCells count="3">
    <mergeCell ref="G143:H143"/>
    <mergeCell ref="D144:F144"/>
    <mergeCell ref="G144:I1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PFernandez</cp:lastModifiedBy>
  <dcterms:created xsi:type="dcterms:W3CDTF">2000-12-26T18:03:26Z</dcterms:created>
  <dcterms:modified xsi:type="dcterms:W3CDTF">2004-03-08T10:53:26Z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-713552962</vt:i4>
  </property>
  <property fmtid="{D5CDD505-2E9C-101B-9397-08002B2CF9AE}" pid="4" name="_EmailSubje">
    <vt:lpwstr>Cambiar estas tablas cap 27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