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1"/>
  </bookViews>
  <sheets>
    <sheet name="Sheet1" sheetId="1" r:id="rId1"/>
    <sheet name="Tabla 25.13" sheetId="2" r:id="rId2"/>
  </sheets>
  <definedNames>
    <definedName name="_xlnm.Print_Area" localSheetId="1">'Tabla 25.13'!$A$1:$P$100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<sst xmlns="http://schemas.openxmlformats.org/spreadsheetml/2006/main" count="115" uniqueCount="92">
  <si>
    <t>Fórmulas para valorar empresas</t>
  </si>
  <si>
    <t>D =</t>
  </si>
  <si>
    <t xml:space="preserve">CRECIMIENTO = </t>
  </si>
  <si>
    <t>imp =</t>
  </si>
  <si>
    <t>Caja necesaria</t>
  </si>
  <si>
    <t>Cuentas a cobrar</t>
  </si>
  <si>
    <t>Stocks</t>
  </si>
  <si>
    <t>Activo fijo bruto</t>
  </si>
  <si>
    <t xml:space="preserve"> - amort acumulada</t>
  </si>
  <si>
    <t>Activo fijo neto</t>
  </si>
  <si>
    <t>TOTAL ACTIVO</t>
  </si>
  <si>
    <t>Cuentas a pagar</t>
  </si>
  <si>
    <t>Deuda</t>
  </si>
  <si>
    <t>Capital (valor contable)</t>
  </si>
  <si>
    <t>TOTAL PASIVO</t>
  </si>
  <si>
    <t>NOF</t>
  </si>
  <si>
    <t>Ventas</t>
  </si>
  <si>
    <t>Coste de ventas</t>
  </si>
  <si>
    <t>Gastos generales</t>
  </si>
  <si>
    <t>Amortización</t>
  </si>
  <si>
    <t>Margen</t>
  </si>
  <si>
    <t>Intereses</t>
  </si>
  <si>
    <t>BAT</t>
  </si>
  <si>
    <t>Impuestos</t>
  </si>
  <si>
    <t>BDT</t>
  </si>
  <si>
    <t>Flujo de fondos (millones)</t>
  </si>
  <si>
    <t xml:space="preserve"> + Amortización</t>
  </si>
  <si>
    <t xml:space="preserve"> + ∆ Deuda</t>
  </si>
  <si>
    <t xml:space="preserve"> - ∆ NOF</t>
  </si>
  <si>
    <t xml:space="preserve"> - Inversiones</t>
  </si>
  <si>
    <t>CCF</t>
  </si>
  <si>
    <t>FCF</t>
  </si>
  <si>
    <t>g CF acciones</t>
  </si>
  <si>
    <t>g FCF</t>
  </si>
  <si>
    <t>impuestos / FCF</t>
  </si>
  <si>
    <t>impuestos / CFacciones</t>
  </si>
  <si>
    <t>VM / VC acciones</t>
  </si>
  <si>
    <t>PER (bfo año siguiente)</t>
  </si>
  <si>
    <t>PER (bfo año presente)</t>
  </si>
  <si>
    <t>P/CFa (año próximo)</t>
  </si>
  <si>
    <t>Beta U</t>
  </si>
  <si>
    <t>Rf</t>
  </si>
  <si>
    <t>Rm - Rf</t>
  </si>
  <si>
    <t>Ku</t>
  </si>
  <si>
    <t>VAN (Ku;FCF) 1-10</t>
  </si>
  <si>
    <t>VAN 11-</t>
  </si>
  <si>
    <t>Vu = VAN (Ku;FCF)</t>
  </si>
  <si>
    <t>VAN 1-10</t>
  </si>
  <si>
    <t>D</t>
  </si>
  <si>
    <t>Kd</t>
  </si>
  <si>
    <t>Beta d</t>
  </si>
  <si>
    <t>D T Ku</t>
  </si>
  <si>
    <t xml:space="preserve"> - D =</t>
  </si>
  <si>
    <t>E 1</t>
  </si>
  <si>
    <t>Beta E</t>
  </si>
  <si>
    <t>Ke</t>
  </si>
  <si>
    <t>1  /  [(1+Ke1)x(1+Ke2)..]</t>
  </si>
  <si>
    <t>CF acciones = Dividendos</t>
  </si>
  <si>
    <t>VANo  CFacc t</t>
  </si>
  <si>
    <t>E 2 = VAN(Ke;CFac)</t>
  </si>
  <si>
    <t>Et = Et-1 * (1+Ke) - CFac</t>
  </si>
  <si>
    <t>WACC</t>
  </si>
  <si>
    <t>1  /  [(1+wacc1)x(1+wacc2)..]</t>
  </si>
  <si>
    <t>VANo  FCF t</t>
  </si>
  <si>
    <t>VAN(WACC;FCF)</t>
  </si>
  <si>
    <t>E 3</t>
  </si>
  <si>
    <r>
      <t>WACC</t>
    </r>
    <r>
      <rPr>
        <b/>
        <vertAlign val="subscript"/>
        <sz val="9"/>
        <rFont val="Tms Rmn"/>
        <family val="0"/>
      </rPr>
      <t>BT</t>
    </r>
  </si>
  <si>
    <r>
      <t>VAN(WACC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</si>
  <si>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 4</t>
  </si>
  <si>
    <t>CFacciones</t>
  </si>
  <si>
    <t>g=2%</t>
  </si>
  <si>
    <t>Valor en t = 0 (millones de euros)</t>
  </si>
  <si>
    <t>SIN IMPUESTOS</t>
  </si>
  <si>
    <t>Sin deuda</t>
  </si>
  <si>
    <t>Con deuda</t>
  </si>
  <si>
    <t>D = 0</t>
  </si>
  <si>
    <t>D = 1.800</t>
  </si>
  <si>
    <t>Estado</t>
  </si>
  <si>
    <t>(Impuestos)</t>
  </si>
  <si>
    <t>Vu</t>
  </si>
  <si>
    <t>Vu = Eu</t>
  </si>
  <si>
    <t>E</t>
  </si>
  <si>
    <t>*  1.237 = 2.917 (línea 38) - 1.680 (línea 36)</t>
  </si>
  <si>
    <r>
      <t>E</t>
    </r>
    <r>
      <rPr>
        <vertAlign val="subscript"/>
        <sz val="8"/>
        <rFont val="Tms Rmn"/>
        <family val="0"/>
      </rPr>
      <t>T=0</t>
    </r>
  </si>
  <si>
    <t>CON IMPUESTOS (40%)</t>
  </si>
  <si>
    <t>r</t>
  </si>
  <si>
    <t>CFd</t>
  </si>
  <si>
    <t>Factor descuento</t>
  </si>
  <si>
    <t>PV CF</t>
  </si>
  <si>
    <t>N</t>
  </si>
  <si>
    <t>VAN(Ku;DTKu) = VTS</t>
  </si>
  <si>
    <t>VTS + Vu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</si>
</sst>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d/m/yy\ h:mm"/>
    <numFmt numFmtId="173" formatCode="0.000000"/>
    <numFmt numFmtId="174" formatCode="0.0000%"/>
    <numFmt numFmtId="175" formatCode="0.0000"/>
    <numFmt numFmtId="176" formatCode="0.0000000"/>
    <numFmt numFmtId="177" formatCode="0.000%"/>
    <numFmt numFmtId="178" formatCode="#,##0.0"/>
    <numFmt numFmtId="179" formatCode="0.0%"/>
    <numFmt numFmtId="180" formatCode="0.00000"/>
    <numFmt numFmtId="181" formatCode="0.000"/>
    <numFmt numFmtId="182" formatCode="0.0"/>
  </numFmts>
  <fonts count="17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vertAlign val="subscript"/>
      <sz val="9"/>
      <name val="Tms Rmn"/>
      <family val="0"/>
    </font>
    <font>
      <vertAlign val="subscript"/>
      <sz val="9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b/>
      <sz val="8"/>
      <name val="Tms Rmn"/>
      <family val="0"/>
    </font>
    <font>
      <i/>
      <sz val="8"/>
      <name val="Tms Rmn"/>
      <family val="0"/>
    </font>
    <font>
      <vertAlign val="subscript"/>
      <sz val="8"/>
      <name val="Tms Rmn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10" fontId="5" fillId="0" borderId="1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0" fontId="6" fillId="0" borderId="2" xfId="0" applyNumberFormat="1" applyFont="1" applyBorder="1" applyAlignment="1">
      <alignment/>
    </xf>
    <xf numFmtId="10" fontId="5" fillId="0" borderId="1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left"/>
    </xf>
    <xf numFmtId="10" fontId="5" fillId="0" borderId="3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6" fillId="0" borderId="0" xfId="0" applyNumberFormat="1" applyFont="1" applyAlignment="1">
      <alignment/>
    </xf>
    <xf numFmtId="10" fontId="5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0" fontId="7" fillId="0" borderId="0" xfId="0" applyNumberFormat="1" applyFont="1" applyAlignment="1">
      <alignment/>
    </xf>
    <xf numFmtId="4" fontId="7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78" fontId="0" fillId="0" borderId="6" xfId="0" applyNumberFormat="1" applyBorder="1" applyAlignment="1">
      <alignment/>
    </xf>
    <xf numFmtId="178" fontId="0" fillId="0" borderId="6" xfId="0" applyNumberFormat="1" applyBorder="1" applyAlignment="1">
      <alignment horizontal="right"/>
    </xf>
    <xf numFmtId="178" fontId="7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78" fontId="7" fillId="0" borderId="6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7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0" fontId="6" fillId="0" borderId="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0" fontId="7" fillId="0" borderId="6" xfId="0" applyNumberFormat="1" applyFont="1" applyBorder="1" applyAlignment="1">
      <alignment/>
    </xf>
    <xf numFmtId="9" fontId="6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175" fontId="0" fillId="0" borderId="6" xfId="0" applyNumberFormat="1" applyFont="1" applyBorder="1" applyAlignment="1">
      <alignment/>
    </xf>
    <xf numFmtId="173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178" fontId="0" fillId="0" borderId="5" xfId="0" applyNumberFormat="1" applyFont="1" applyBorder="1" applyAlignment="1">
      <alignment/>
    </xf>
    <xf numFmtId="0" fontId="7" fillId="0" borderId="8" xfId="0" applyFont="1" applyBorder="1" applyAlignment="1">
      <alignment/>
    </xf>
    <xf numFmtId="9" fontId="5" fillId="0" borderId="9" xfId="0" applyNumberFormat="1" applyFont="1" applyBorder="1" applyAlignment="1">
      <alignment/>
    </xf>
    <xf numFmtId="9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75" fontId="0" fillId="0" borderId="5" xfId="0" applyNumberFormat="1" applyFont="1" applyBorder="1" applyAlignment="1">
      <alignment/>
    </xf>
    <xf numFmtId="175" fontId="0" fillId="0" borderId="5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0" fontId="0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2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0" fontId="7" fillId="0" borderId="4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78" fontId="0" fillId="0" borderId="15" xfId="0" applyNumberFormat="1" applyBorder="1" applyAlignment="1">
      <alignment/>
    </xf>
    <xf numFmtId="178" fontId="0" fillId="0" borderId="6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0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0" fontId="0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5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79" fontId="7" fillId="0" borderId="0" xfId="0" applyNumberFormat="1" applyFont="1" applyAlignment="1">
      <alignment/>
    </xf>
    <xf numFmtId="9" fontId="0" fillId="0" borderId="6" xfId="19" applyFont="1" applyBorder="1" applyAlignment="1">
      <alignment/>
    </xf>
    <xf numFmtId="178" fontId="7" fillId="0" borderId="9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78" fontId="11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9" fontId="0" fillId="0" borderId="0" xfId="19" applyFont="1" applyBorder="1" applyAlignment="1">
      <alignment/>
    </xf>
    <xf numFmtId="4" fontId="0" fillId="0" borderId="6" xfId="19" applyNumberFormat="1" applyFont="1" applyBorder="1" applyAlignment="1">
      <alignment/>
    </xf>
    <xf numFmtId="4" fontId="0" fillId="0" borderId="0" xfId="19" applyNumberFormat="1" applyFont="1" applyBorder="1" applyAlignment="1">
      <alignment/>
    </xf>
    <xf numFmtId="3" fontId="0" fillId="0" borderId="6" xfId="19" applyNumberFormat="1" applyFont="1" applyBorder="1" applyAlignment="1">
      <alignment/>
    </xf>
    <xf numFmtId="0" fontId="0" fillId="0" borderId="2" xfId="0" applyFont="1" applyBorder="1" applyAlignment="1">
      <alignment horizontal="left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8"/>
  <sheetViews>
    <sheetView workbookViewId="0" topLeftCell="A1">
      <selection activeCell="D20" sqref="D20"/>
    </sheetView>
  </sheetViews>
  <sheetFormatPr defaultColWidth="11.00390625" defaultRowHeight="12"/>
  <cols>
    <col min="1" max="2" width="9.625" style="0" customWidth="1"/>
    <col min="3" max="3" width="8.375" style="0" customWidth="1"/>
    <col min="4" max="4" width="14.00390625" style="0" customWidth="1"/>
    <col min="5" max="5" width="4.625" style="0" customWidth="1"/>
    <col min="6" max="6" width="14.00390625" style="0" customWidth="1"/>
    <col min="7" max="7" width="5.00390625" style="0" customWidth="1"/>
    <col min="8" max="8" width="14.00390625" style="0" customWidth="1"/>
    <col min="9" max="9" width="4.625" style="0" customWidth="1"/>
    <col min="10" max="10" width="14.00390625" style="0" customWidth="1"/>
    <col min="11" max="16384" width="9.625" style="0" customWidth="1"/>
  </cols>
  <sheetData>
    <row r="1" spans="4:10" ht="10.5">
      <c r="D1" s="177"/>
      <c r="E1" s="177"/>
      <c r="F1" s="177"/>
      <c r="G1" s="177" t="s">
        <v>71</v>
      </c>
      <c r="H1" s="177"/>
      <c r="I1" s="177"/>
      <c r="J1" s="177"/>
    </row>
    <row r="2" spans="4:10" ht="10.5">
      <c r="D2" s="178"/>
      <c r="E2" s="178"/>
      <c r="F2" s="178"/>
      <c r="G2" s="178"/>
      <c r="H2" s="178"/>
      <c r="I2" s="178"/>
      <c r="J2" s="178"/>
    </row>
    <row r="3" spans="4:10" ht="10.5">
      <c r="D3" s="179"/>
      <c r="E3" s="179" t="s">
        <v>72</v>
      </c>
      <c r="F3" s="179"/>
      <c r="G3" s="180"/>
      <c r="H3" s="179"/>
      <c r="I3" s="179" t="s">
        <v>84</v>
      </c>
      <c r="J3" s="179"/>
    </row>
    <row r="4" spans="4:10" ht="10.5">
      <c r="D4" s="180"/>
      <c r="E4" s="180"/>
      <c r="F4" s="180"/>
      <c r="G4" s="180"/>
      <c r="H4" s="180"/>
      <c r="I4" s="180"/>
      <c r="J4" s="180"/>
    </row>
    <row r="5" spans="4:10" ht="10.5">
      <c r="D5" s="180" t="s">
        <v>73</v>
      </c>
      <c r="E5" s="180"/>
      <c r="F5" s="180" t="s">
        <v>74</v>
      </c>
      <c r="G5" s="180"/>
      <c r="H5" s="180" t="s">
        <v>73</v>
      </c>
      <c r="I5" s="180"/>
      <c r="J5" s="180" t="s">
        <v>74</v>
      </c>
    </row>
    <row r="6" spans="4:10" ht="11.25" thickBot="1">
      <c r="D6" s="180" t="s">
        <v>75</v>
      </c>
      <c r="E6" s="180"/>
      <c r="F6" s="180" t="s">
        <v>76</v>
      </c>
      <c r="G6" s="180"/>
      <c r="H6" s="180" t="s">
        <v>75</v>
      </c>
      <c r="I6" s="180"/>
      <c r="J6" s="180" t="s">
        <v>76</v>
      </c>
    </row>
    <row r="7" spans="4:10" ht="10.5">
      <c r="D7" s="181"/>
      <c r="E7" s="178"/>
      <c r="F7" s="181"/>
      <c r="G7" s="178"/>
      <c r="H7" s="181" t="s">
        <v>77</v>
      </c>
      <c r="I7" s="178"/>
      <c r="J7" s="181"/>
    </row>
    <row r="8" spans="4:10" ht="10.5">
      <c r="D8" s="182"/>
      <c r="E8" s="178"/>
      <c r="F8" s="182"/>
      <c r="G8" s="178"/>
      <c r="H8" s="182" t="s">
        <v>78</v>
      </c>
      <c r="I8" s="178"/>
      <c r="J8" s="182"/>
    </row>
    <row r="9" spans="4:10" ht="11.25" thickBot="1">
      <c r="D9" s="182"/>
      <c r="E9" s="178"/>
      <c r="F9" s="184" t="s">
        <v>76</v>
      </c>
      <c r="G9" s="178"/>
      <c r="H9" s="182"/>
      <c r="I9" s="178"/>
      <c r="J9" s="184" t="s">
        <v>76</v>
      </c>
    </row>
    <row r="10" spans="4:10" ht="11.25" thickBot="1">
      <c r="D10" s="182"/>
      <c r="E10" s="178"/>
      <c r="F10" s="181"/>
      <c r="G10" s="178"/>
      <c r="H10" s="183">
        <f>D13-H14</f>
        <v>1952.7000000000003</v>
      </c>
      <c r="I10" s="178"/>
      <c r="J10" s="181" t="s">
        <v>77</v>
      </c>
    </row>
    <row r="11" spans="4:10" ht="10.5">
      <c r="D11" s="182" t="s">
        <v>79</v>
      </c>
      <c r="E11" s="178"/>
      <c r="F11" s="182"/>
      <c r="G11" s="178"/>
      <c r="H11" s="182"/>
      <c r="I11" s="178"/>
      <c r="J11" s="182" t="s">
        <v>78</v>
      </c>
    </row>
    <row r="12" spans="4:10" ht="11.25" thickBot="1">
      <c r="D12" s="182"/>
      <c r="E12" s="178"/>
      <c r="F12" s="182"/>
      <c r="G12" s="178"/>
      <c r="H12" s="182" t="s">
        <v>80</v>
      </c>
      <c r="I12" s="178"/>
      <c r="J12" s="187">
        <f>D13-1800-J15</f>
        <v>1471.7000000000003</v>
      </c>
    </row>
    <row r="13" spans="4:10" ht="13.5">
      <c r="D13" s="187">
        <v>5721.8</v>
      </c>
      <c r="E13" s="178"/>
      <c r="F13" s="182" t="s">
        <v>83</v>
      </c>
      <c r="G13" s="178"/>
      <c r="H13" s="182"/>
      <c r="I13" s="178"/>
      <c r="J13" s="188"/>
    </row>
    <row r="14" spans="4:10" ht="10.5">
      <c r="D14" s="182"/>
      <c r="E14" s="178"/>
      <c r="F14" s="182"/>
      <c r="G14" s="178"/>
      <c r="H14" s="187">
        <v>3769.1</v>
      </c>
      <c r="I14" s="178"/>
      <c r="J14" s="182" t="s">
        <v>81</v>
      </c>
    </row>
    <row r="15" spans="4:10" ht="10.5">
      <c r="D15" s="182"/>
      <c r="E15" s="178"/>
      <c r="F15" s="187">
        <v>3921.8</v>
      </c>
      <c r="G15" s="178"/>
      <c r="H15" s="182"/>
      <c r="I15" s="178"/>
      <c r="J15" s="187">
        <v>2450.1</v>
      </c>
    </row>
    <row r="16" spans="4:10" ht="10.5">
      <c r="D16" s="182"/>
      <c r="E16" s="178"/>
      <c r="F16" s="182"/>
      <c r="G16" s="178"/>
      <c r="H16" s="182"/>
      <c r="I16" s="178"/>
      <c r="J16" s="182" t="s">
        <v>81</v>
      </c>
    </row>
    <row r="17" spans="4:10" ht="11.25" thickBot="1">
      <c r="D17" s="184"/>
      <c r="E17" s="178"/>
      <c r="F17" s="184"/>
      <c r="G17" s="178"/>
      <c r="H17" s="184"/>
      <c r="I17" s="178"/>
      <c r="J17" s="189"/>
    </row>
    <row r="18" spans="4:10" ht="10.5">
      <c r="D18" s="185"/>
      <c r="E18" s="178"/>
      <c r="F18" s="178"/>
      <c r="G18" s="185"/>
      <c r="H18" s="178"/>
      <c r="I18" s="178"/>
      <c r="J18" s="186" t="s">
        <v>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tabSelected="1" workbookViewId="0" topLeftCell="A52">
      <selection activeCell="C68" sqref="C68"/>
    </sheetView>
  </sheetViews>
  <sheetFormatPr defaultColWidth="11.00390625" defaultRowHeight="12"/>
  <cols>
    <col min="1" max="1" width="3.625" style="18" customWidth="1"/>
    <col min="2" max="2" width="5.375" style="5" customWidth="1"/>
    <col min="3" max="3" width="22.375" style="5" customWidth="1"/>
    <col min="4" max="5" width="10.25390625" style="5" bestFit="1" customWidth="1"/>
    <col min="6" max="6" width="10.625" style="5" customWidth="1"/>
    <col min="7" max="9" width="10.25390625" style="5" bestFit="1" customWidth="1"/>
    <col min="10" max="14" width="10.25390625" style="0" bestFit="1" customWidth="1"/>
    <col min="15" max="15" width="10.625" style="0" bestFit="1" customWidth="1"/>
    <col min="16" max="16" width="9.625" style="0" customWidth="1"/>
    <col min="29" max="16384" width="11.00390625" style="5" customWidth="1"/>
  </cols>
  <sheetData>
    <row r="1" spans="1:9" ht="12.75">
      <c r="A1" s="19"/>
      <c r="B1" s="24"/>
      <c r="C1" s="13"/>
      <c r="D1" s="172">
        <f>H2</f>
        <v>0.3</v>
      </c>
      <c r="E1"/>
      <c r="F1" s="8"/>
      <c r="G1" s="24"/>
      <c r="H1" s="16"/>
      <c r="I1" s="20" t="s">
        <v>0</v>
      </c>
    </row>
    <row r="2" spans="1:8" ht="9" customHeight="1">
      <c r="A2" s="19"/>
      <c r="B2" s="24" t="s">
        <v>1</v>
      </c>
      <c r="C2" s="13">
        <f>D14</f>
        <v>1800</v>
      </c>
      <c r="D2" s="13"/>
      <c r="E2" s="24" t="s">
        <v>2</v>
      </c>
      <c r="F2" s="8">
        <f>O3</f>
        <v>0.02</v>
      </c>
      <c r="G2" s="24" t="s">
        <v>3</v>
      </c>
      <c r="H2" s="10">
        <v>0.3</v>
      </c>
    </row>
    <row r="3" spans="1:15" ht="9" customHeight="1">
      <c r="A3" s="19"/>
      <c r="B3" s="24"/>
      <c r="C3" s="13"/>
      <c r="D3" s="73"/>
      <c r="E3" s="12"/>
      <c r="F3" s="74"/>
      <c r="G3" s="12"/>
      <c r="H3" s="1"/>
      <c r="I3" s="39"/>
      <c r="J3" s="75"/>
      <c r="K3" s="75"/>
      <c r="L3" s="75"/>
      <c r="M3" s="75"/>
      <c r="N3" s="76" t="s">
        <v>70</v>
      </c>
      <c r="O3" s="17">
        <v>0.02</v>
      </c>
    </row>
    <row r="4" spans="1:28" ht="12" customHeight="1">
      <c r="A4" s="19"/>
      <c r="B4"/>
      <c r="C4"/>
      <c r="D4" s="76">
        <v>0</v>
      </c>
      <c r="E4" s="76">
        <v>1</v>
      </c>
      <c r="F4" s="76">
        <f aca="true" t="shared" si="0" ref="F4:O4">E4+1</f>
        <v>2</v>
      </c>
      <c r="G4" s="76">
        <f t="shared" si="0"/>
        <v>3</v>
      </c>
      <c r="H4" s="76">
        <f t="shared" si="0"/>
        <v>4</v>
      </c>
      <c r="I4" s="76">
        <f t="shared" si="0"/>
        <v>5</v>
      </c>
      <c r="J4" s="76">
        <f t="shared" si="0"/>
        <v>6</v>
      </c>
      <c r="K4" s="76">
        <f t="shared" si="0"/>
        <v>7</v>
      </c>
      <c r="L4" s="76">
        <f t="shared" si="0"/>
        <v>8</v>
      </c>
      <c r="M4" s="76">
        <f t="shared" si="0"/>
        <v>9</v>
      </c>
      <c r="N4" s="76">
        <f t="shared" si="0"/>
        <v>10</v>
      </c>
      <c r="O4" s="12">
        <f t="shared" si="0"/>
        <v>11</v>
      </c>
      <c r="P4" s="12">
        <f aca="true" t="shared" si="1" ref="P4:AB4">O4+1</f>
        <v>12</v>
      </c>
      <c r="Q4" s="12">
        <f t="shared" si="1"/>
        <v>13</v>
      </c>
      <c r="R4" s="12">
        <f t="shared" si="1"/>
        <v>14</v>
      </c>
      <c r="S4" s="12">
        <f t="shared" si="1"/>
        <v>15</v>
      </c>
      <c r="T4" s="12">
        <f t="shared" si="1"/>
        <v>16</v>
      </c>
      <c r="U4" s="24">
        <f t="shared" si="1"/>
        <v>17</v>
      </c>
      <c r="V4" s="24">
        <f t="shared" si="1"/>
        <v>18</v>
      </c>
      <c r="W4" s="24">
        <f t="shared" si="1"/>
        <v>19</v>
      </c>
      <c r="X4" s="24">
        <f t="shared" si="1"/>
        <v>20</v>
      </c>
      <c r="Y4" s="24">
        <f t="shared" si="1"/>
        <v>21</v>
      </c>
      <c r="Z4" s="24">
        <f t="shared" si="1"/>
        <v>22</v>
      </c>
      <c r="AA4" s="24">
        <f t="shared" si="1"/>
        <v>23</v>
      </c>
      <c r="AB4" s="24">
        <f t="shared" si="1"/>
        <v>24</v>
      </c>
    </row>
    <row r="5" spans="1:28" ht="12" customHeight="1">
      <c r="A5" s="122">
        <v>1</v>
      </c>
      <c r="B5" s="115"/>
      <c r="C5" s="116" t="s">
        <v>4</v>
      </c>
      <c r="D5" s="125">
        <f>D16-D6-D7-D10</f>
        <v>100</v>
      </c>
      <c r="E5" s="126">
        <f>INT(E22/30)</f>
        <v>106</v>
      </c>
      <c r="F5" s="126">
        <f aca="true" t="shared" si="2" ref="F5:M5">INT(F22/30)</f>
        <v>113</v>
      </c>
      <c r="G5" s="126">
        <f t="shared" si="2"/>
        <v>120</v>
      </c>
      <c r="H5" s="126">
        <f t="shared" si="2"/>
        <v>126</v>
      </c>
      <c r="I5" s="126">
        <f t="shared" si="2"/>
        <v>133</v>
      </c>
      <c r="J5" s="126">
        <f t="shared" si="2"/>
        <v>140</v>
      </c>
      <c r="K5" s="126">
        <f t="shared" si="2"/>
        <v>146</v>
      </c>
      <c r="L5" s="126">
        <f t="shared" si="2"/>
        <v>153</v>
      </c>
      <c r="M5" s="126">
        <f t="shared" si="2"/>
        <v>156</v>
      </c>
      <c r="N5" s="137">
        <f aca="true" t="shared" si="3" ref="N5:AB5">M5*(1+$O$3)</f>
        <v>159.12</v>
      </c>
      <c r="O5" s="4">
        <f t="shared" si="3"/>
        <v>162.3024</v>
      </c>
      <c r="P5" s="4">
        <f t="shared" si="3"/>
        <v>165.548448</v>
      </c>
      <c r="Q5" s="4">
        <f t="shared" si="3"/>
        <v>168.85941696</v>
      </c>
      <c r="R5" s="4">
        <f t="shared" si="3"/>
        <v>172.2366052992</v>
      </c>
      <c r="S5" s="4">
        <f t="shared" si="3"/>
        <v>175.681337405184</v>
      </c>
      <c r="T5" s="4">
        <f t="shared" si="3"/>
        <v>179.19496415328769</v>
      </c>
      <c r="U5" s="4">
        <f t="shared" si="3"/>
        <v>182.77886343635345</v>
      </c>
      <c r="V5" s="4">
        <f t="shared" si="3"/>
        <v>186.43444070508053</v>
      </c>
      <c r="W5" s="4">
        <f t="shared" si="3"/>
        <v>190.16312951918215</v>
      </c>
      <c r="X5" s="4">
        <f t="shared" si="3"/>
        <v>193.9663921095658</v>
      </c>
      <c r="Y5" s="4">
        <f t="shared" si="3"/>
        <v>197.8457199517571</v>
      </c>
      <c r="Z5" s="4">
        <f t="shared" si="3"/>
        <v>201.80263435079226</v>
      </c>
      <c r="AA5" s="4">
        <f t="shared" si="3"/>
        <v>205.8386870378081</v>
      </c>
      <c r="AB5" s="4">
        <f t="shared" si="3"/>
        <v>209.9554607785643</v>
      </c>
    </row>
    <row r="6" spans="1:28" ht="12" customHeight="1">
      <c r="A6" s="123">
        <v>2</v>
      </c>
      <c r="B6" s="118"/>
      <c r="C6" s="119" t="s">
        <v>5</v>
      </c>
      <c r="D6" s="53">
        <v>900</v>
      </c>
      <c r="E6" s="54">
        <f aca="true" t="shared" si="4" ref="E6:N6">0.3*E22</f>
        <v>960</v>
      </c>
      <c r="F6" s="54">
        <f t="shared" si="4"/>
        <v>1020</v>
      </c>
      <c r="G6" s="54">
        <f t="shared" si="4"/>
        <v>1080</v>
      </c>
      <c r="H6" s="54">
        <f t="shared" si="4"/>
        <v>1140</v>
      </c>
      <c r="I6" s="54">
        <f t="shared" si="4"/>
        <v>1200</v>
      </c>
      <c r="J6" s="56">
        <f t="shared" si="4"/>
        <v>1260</v>
      </c>
      <c r="K6" s="56">
        <f t="shared" si="4"/>
        <v>1320</v>
      </c>
      <c r="L6" s="51">
        <f t="shared" si="4"/>
        <v>1380</v>
      </c>
      <c r="M6" s="51">
        <f t="shared" si="4"/>
        <v>1407.6</v>
      </c>
      <c r="N6" s="51">
        <f t="shared" si="4"/>
        <v>1435.752</v>
      </c>
      <c r="O6" s="34">
        <f aca="true" t="shared" si="5" ref="O6:AB6">0.3*O22</f>
        <v>1464.46704</v>
      </c>
      <c r="P6" s="34">
        <f t="shared" si="5"/>
        <v>1493.7563808</v>
      </c>
      <c r="Q6" s="34">
        <f t="shared" si="5"/>
        <v>1523.631508416</v>
      </c>
      <c r="R6" s="34">
        <f t="shared" si="5"/>
        <v>1554.10413858432</v>
      </c>
      <c r="S6" s="34">
        <f t="shared" si="5"/>
        <v>1585.1862213560064</v>
      </c>
      <c r="T6" s="34">
        <f t="shared" si="5"/>
        <v>1616.8899457831267</v>
      </c>
      <c r="U6" s="34">
        <f t="shared" si="5"/>
        <v>1649.2277446987894</v>
      </c>
      <c r="V6" s="34">
        <f t="shared" si="5"/>
        <v>1682.2122995927652</v>
      </c>
      <c r="W6" s="34">
        <f t="shared" si="5"/>
        <v>1715.8565455846203</v>
      </c>
      <c r="X6" s="34">
        <f t="shared" si="5"/>
        <v>1750.1736764963127</v>
      </c>
      <c r="Y6" s="34">
        <f t="shared" si="5"/>
        <v>1785.1771500262391</v>
      </c>
      <c r="Z6" s="34">
        <f t="shared" si="5"/>
        <v>1820.8806930267638</v>
      </c>
      <c r="AA6" s="34">
        <f t="shared" si="5"/>
        <v>1857.2983068872988</v>
      </c>
      <c r="AB6" s="34">
        <f t="shared" si="5"/>
        <v>1894.4442730250448</v>
      </c>
    </row>
    <row r="7" spans="1:28" ht="12" customHeight="1">
      <c r="A7" s="123">
        <v>3</v>
      </c>
      <c r="B7" s="118"/>
      <c r="C7" s="119" t="s">
        <v>6</v>
      </c>
      <c r="D7" s="53">
        <v>300</v>
      </c>
      <c r="E7" s="54">
        <f aca="true" t="shared" si="6" ref="E7:N7">0.2*E23</f>
        <v>352.00000000000006</v>
      </c>
      <c r="F7" s="54">
        <f t="shared" si="6"/>
        <v>374.00000000000006</v>
      </c>
      <c r="G7" s="54">
        <f t="shared" si="6"/>
        <v>396.00000000000006</v>
      </c>
      <c r="H7" s="54">
        <f t="shared" si="6"/>
        <v>418</v>
      </c>
      <c r="I7" s="54">
        <f t="shared" si="6"/>
        <v>440</v>
      </c>
      <c r="J7" s="56">
        <f t="shared" si="6"/>
        <v>462</v>
      </c>
      <c r="K7" s="56">
        <f t="shared" si="6"/>
        <v>484</v>
      </c>
      <c r="L7" s="51">
        <f t="shared" si="6"/>
        <v>506</v>
      </c>
      <c r="M7" s="51">
        <f t="shared" si="6"/>
        <v>516.1200000000001</v>
      </c>
      <c r="N7" s="51">
        <f t="shared" si="6"/>
        <v>526.4424000000001</v>
      </c>
      <c r="O7" s="34">
        <f aca="true" t="shared" si="7" ref="O7:AB7">0.2*O23</f>
        <v>536.9712480000002</v>
      </c>
      <c r="P7" s="34">
        <f t="shared" si="7"/>
        <v>547.7106729600001</v>
      </c>
      <c r="Q7" s="34">
        <f t="shared" si="7"/>
        <v>558.6648864192001</v>
      </c>
      <c r="R7" s="34">
        <f t="shared" si="7"/>
        <v>569.8381841475841</v>
      </c>
      <c r="S7" s="34">
        <f t="shared" si="7"/>
        <v>581.2349478305358</v>
      </c>
      <c r="T7" s="34">
        <f t="shared" si="7"/>
        <v>592.8596467871465</v>
      </c>
      <c r="U7" s="34">
        <f t="shared" si="7"/>
        <v>604.7168397228895</v>
      </c>
      <c r="V7" s="34">
        <f t="shared" si="7"/>
        <v>616.8111765173473</v>
      </c>
      <c r="W7" s="34">
        <f t="shared" si="7"/>
        <v>629.1474000476942</v>
      </c>
      <c r="X7" s="34">
        <f t="shared" si="7"/>
        <v>641.7303480486481</v>
      </c>
      <c r="Y7" s="34">
        <f t="shared" si="7"/>
        <v>654.564955009621</v>
      </c>
      <c r="Z7" s="34">
        <f t="shared" si="7"/>
        <v>667.6562541098135</v>
      </c>
      <c r="AA7" s="34">
        <f t="shared" si="7"/>
        <v>681.0093791920098</v>
      </c>
      <c r="AB7" s="34">
        <f t="shared" si="7"/>
        <v>694.62956677585</v>
      </c>
    </row>
    <row r="8" spans="1:28" ht="12" customHeight="1">
      <c r="A8" s="123">
        <v>4</v>
      </c>
      <c r="B8" s="118"/>
      <c r="C8" s="119" t="s">
        <v>7</v>
      </c>
      <c r="D8" s="57">
        <v>1500</v>
      </c>
      <c r="E8" s="57">
        <v>1800</v>
      </c>
      <c r="F8" s="57">
        <v>2700</v>
      </c>
      <c r="G8" s="57">
        <v>3100</v>
      </c>
      <c r="H8" s="57">
        <v>3300</v>
      </c>
      <c r="I8" s="57">
        <v>3500</v>
      </c>
      <c r="J8" s="55">
        <v>3900</v>
      </c>
      <c r="K8" s="55">
        <f aca="true" t="shared" si="8" ref="K8:T8">J8+K9-J9</f>
        <v>4204</v>
      </c>
      <c r="L8" s="50">
        <f t="shared" si="8"/>
        <v>4514.08</v>
      </c>
      <c r="M8" s="50">
        <f t="shared" si="8"/>
        <v>4830.3616</v>
      </c>
      <c r="N8" s="50">
        <f t="shared" si="8"/>
        <v>5152.968831999999</v>
      </c>
      <c r="O8" s="4">
        <f t="shared" si="8"/>
        <v>5482.028208639999</v>
      </c>
      <c r="P8" s="4">
        <f t="shared" si="8"/>
        <v>5817.668772812799</v>
      </c>
      <c r="Q8" s="4">
        <f t="shared" si="8"/>
        <v>6160.022148269055</v>
      </c>
      <c r="R8" s="4">
        <f t="shared" si="8"/>
        <v>6509.222591234436</v>
      </c>
      <c r="S8" s="4">
        <f t="shared" si="8"/>
        <v>6865.407043059125</v>
      </c>
      <c r="T8" s="4">
        <f t="shared" si="8"/>
        <v>7228.715183920306</v>
      </c>
      <c r="U8" s="4">
        <f aca="true" t="shared" si="9" ref="U8:AB8">T8+U9-T9</f>
        <v>7599.289487598711</v>
      </c>
      <c r="V8" s="4">
        <f t="shared" si="9"/>
        <v>7977.275277350685</v>
      </c>
      <c r="W8" s="4">
        <f t="shared" si="9"/>
        <v>8362.8207828977</v>
      </c>
      <c r="X8" s="4">
        <f t="shared" si="9"/>
        <v>8756.077198555653</v>
      </c>
      <c r="Y8" s="4">
        <f t="shared" si="9"/>
        <v>9157.198742526767</v>
      </c>
      <c r="Z8" s="4">
        <f t="shared" si="9"/>
        <v>9566.342717377302</v>
      </c>
      <c r="AA8" s="4">
        <f t="shared" si="9"/>
        <v>9983.66957172485</v>
      </c>
      <c r="AB8" s="4">
        <f t="shared" si="9"/>
        <v>10409.342963159348</v>
      </c>
    </row>
    <row r="9" spans="1:28" ht="12" customHeight="1">
      <c r="A9" s="123">
        <v>5</v>
      </c>
      <c r="B9" s="118"/>
      <c r="C9" s="119" t="s">
        <v>8</v>
      </c>
      <c r="D9" s="53">
        <v>200</v>
      </c>
      <c r="E9" s="57">
        <f>D9+E25</f>
        <v>550</v>
      </c>
      <c r="F9" s="57">
        <f>E9+F25</f>
        <v>900</v>
      </c>
      <c r="G9" s="57">
        <f>F9+G25</f>
        <v>1300</v>
      </c>
      <c r="H9" s="57">
        <f>G9+H25</f>
        <v>1800</v>
      </c>
      <c r="I9" s="57">
        <f>H9+I25</f>
        <v>2100</v>
      </c>
      <c r="J9" s="55">
        <f>I9+J25</f>
        <v>2380</v>
      </c>
      <c r="K9" s="55">
        <f>J9+K25</f>
        <v>2684</v>
      </c>
      <c r="L9" s="50">
        <f>K9+L25</f>
        <v>2994.08</v>
      </c>
      <c r="M9" s="50">
        <f>L9+M25</f>
        <v>3310.3615999999997</v>
      </c>
      <c r="N9" s="50">
        <f>M9+N25</f>
        <v>3632.9688319999996</v>
      </c>
      <c r="O9" s="4">
        <f>N9+O25</f>
        <v>3962.0282086399993</v>
      </c>
      <c r="P9" s="4">
        <f>O9+P25</f>
        <v>4297.668772812799</v>
      </c>
      <c r="Q9" s="4">
        <f>P9+Q25</f>
        <v>4640.022148269055</v>
      </c>
      <c r="R9" s="4">
        <f>Q9+R25</f>
        <v>4989.222591234436</v>
      </c>
      <c r="S9" s="4">
        <f>R9+S25</f>
        <v>5345.407043059125</v>
      </c>
      <c r="T9" s="4">
        <f>S9+T25</f>
        <v>5708.715183920307</v>
      </c>
      <c r="U9" s="4">
        <f>T9+U25</f>
        <v>6079.289487598713</v>
      </c>
      <c r="V9" s="4">
        <f>U9+V25</f>
        <v>6457.275277350687</v>
      </c>
      <c r="W9" s="4">
        <f>V9+W25</f>
        <v>6842.820782897701</v>
      </c>
      <c r="X9" s="4">
        <f>W9+X25</f>
        <v>7236.077198555655</v>
      </c>
      <c r="Y9" s="4">
        <f>X9+Y25</f>
        <v>7637.198742526768</v>
      </c>
      <c r="Z9" s="4">
        <f>Y9+Z25</f>
        <v>8046.342717377303</v>
      </c>
      <c r="AA9" s="4">
        <f>Z9+AA25</f>
        <v>8463.66957172485</v>
      </c>
      <c r="AB9" s="4">
        <f>AA9+AB25</f>
        <v>8889.342963159346</v>
      </c>
    </row>
    <row r="10" spans="1:28" ht="12" customHeight="1">
      <c r="A10" s="123">
        <v>6</v>
      </c>
      <c r="B10" s="118"/>
      <c r="C10" s="119" t="s">
        <v>9</v>
      </c>
      <c r="D10" s="53">
        <f aca="true" t="shared" si="10" ref="D10:M10">D8-D9</f>
        <v>1300</v>
      </c>
      <c r="E10" s="54">
        <f t="shared" si="10"/>
        <v>1250</v>
      </c>
      <c r="F10" s="54">
        <f t="shared" si="10"/>
        <v>1800</v>
      </c>
      <c r="G10" s="54">
        <f t="shared" si="10"/>
        <v>1800</v>
      </c>
      <c r="H10" s="54">
        <f t="shared" si="10"/>
        <v>1500</v>
      </c>
      <c r="I10" s="54">
        <f t="shared" si="10"/>
        <v>1400</v>
      </c>
      <c r="J10" s="56">
        <f t="shared" si="10"/>
        <v>1520</v>
      </c>
      <c r="K10" s="56">
        <f t="shared" si="10"/>
        <v>1520</v>
      </c>
      <c r="L10" s="51">
        <f t="shared" si="10"/>
        <v>1520</v>
      </c>
      <c r="M10" s="51">
        <f t="shared" si="10"/>
        <v>1520.0000000000005</v>
      </c>
      <c r="N10" s="51">
        <f aca="true" t="shared" si="11" ref="N10:AB10">N8-N9</f>
        <v>1519.999999999999</v>
      </c>
      <c r="O10" s="34">
        <f t="shared" si="11"/>
        <v>1520</v>
      </c>
      <c r="P10" s="34">
        <f t="shared" si="11"/>
        <v>1520</v>
      </c>
      <c r="Q10" s="34">
        <f t="shared" si="11"/>
        <v>1520</v>
      </c>
      <c r="R10" s="34">
        <f t="shared" si="11"/>
        <v>1520</v>
      </c>
      <c r="S10" s="34">
        <f t="shared" si="11"/>
        <v>1520</v>
      </c>
      <c r="T10" s="34">
        <f t="shared" si="11"/>
        <v>1519.999999999999</v>
      </c>
      <c r="U10" s="34">
        <f t="shared" si="11"/>
        <v>1519.9999999999982</v>
      </c>
      <c r="V10" s="34">
        <f t="shared" si="11"/>
        <v>1519.9999999999982</v>
      </c>
      <c r="W10" s="34">
        <f t="shared" si="11"/>
        <v>1519.9999999999982</v>
      </c>
      <c r="X10" s="34">
        <f t="shared" si="11"/>
        <v>1519.9999999999982</v>
      </c>
      <c r="Y10" s="34">
        <f t="shared" si="11"/>
        <v>1519.999999999999</v>
      </c>
      <c r="Z10" s="34">
        <f t="shared" si="11"/>
        <v>1519.9999999999982</v>
      </c>
      <c r="AA10" s="34">
        <f t="shared" si="11"/>
        <v>1520</v>
      </c>
      <c r="AB10" s="34">
        <f t="shared" si="11"/>
        <v>1520.0000000000018</v>
      </c>
    </row>
    <row r="11" spans="1:28" s="131" customFormat="1" ht="12" customHeight="1">
      <c r="A11" s="124">
        <v>7</v>
      </c>
      <c r="B11" s="43"/>
      <c r="C11" s="121" t="s">
        <v>10</v>
      </c>
      <c r="D11" s="58">
        <f aca="true" t="shared" si="12" ref="D11:M11">D5+D6+D7+D10</f>
        <v>2600</v>
      </c>
      <c r="E11" s="58">
        <f t="shared" si="12"/>
        <v>2668</v>
      </c>
      <c r="F11" s="58">
        <f t="shared" si="12"/>
        <v>3307</v>
      </c>
      <c r="G11" s="58">
        <f t="shared" si="12"/>
        <v>3396</v>
      </c>
      <c r="H11" s="58">
        <f t="shared" si="12"/>
        <v>3184</v>
      </c>
      <c r="I11" s="58">
        <f t="shared" si="12"/>
        <v>3173</v>
      </c>
      <c r="J11" s="58">
        <f t="shared" si="12"/>
        <v>3382</v>
      </c>
      <c r="K11" s="58">
        <f t="shared" si="12"/>
        <v>3470</v>
      </c>
      <c r="L11" s="52">
        <f t="shared" si="12"/>
        <v>3559</v>
      </c>
      <c r="M11" s="52">
        <f t="shared" si="12"/>
        <v>3599.7200000000007</v>
      </c>
      <c r="N11" s="52">
        <f aca="true" t="shared" si="13" ref="N11:AB11">N5+N6+N7+N10</f>
        <v>3641.3143999999993</v>
      </c>
      <c r="O11" s="130">
        <f t="shared" si="13"/>
        <v>3683.7406880000003</v>
      </c>
      <c r="P11" s="130">
        <f t="shared" si="13"/>
        <v>3727.01550176</v>
      </c>
      <c r="Q11" s="130">
        <f t="shared" si="13"/>
        <v>3771.1558117952004</v>
      </c>
      <c r="R11" s="130">
        <f t="shared" si="13"/>
        <v>3816.178928031104</v>
      </c>
      <c r="S11" s="130">
        <f t="shared" si="13"/>
        <v>3862.102506591726</v>
      </c>
      <c r="T11" s="130">
        <f t="shared" si="13"/>
        <v>3908.94455672356</v>
      </c>
      <c r="U11" s="130">
        <f t="shared" si="13"/>
        <v>3956.7234478580303</v>
      </c>
      <c r="V11" s="130">
        <f t="shared" si="13"/>
        <v>4005.4579168151913</v>
      </c>
      <c r="W11" s="130">
        <f t="shared" si="13"/>
        <v>4055.167075151495</v>
      </c>
      <c r="X11" s="130">
        <f t="shared" si="13"/>
        <v>4105.870416654525</v>
      </c>
      <c r="Y11" s="130">
        <f t="shared" si="13"/>
        <v>4157.587824987617</v>
      </c>
      <c r="Z11" s="130">
        <f t="shared" si="13"/>
        <v>4210.3395814873675</v>
      </c>
      <c r="AA11" s="130">
        <f t="shared" si="13"/>
        <v>4264.146373117117</v>
      </c>
      <c r="AB11" s="130">
        <f t="shared" si="13"/>
        <v>4319.029300579461</v>
      </c>
    </row>
    <row r="12" spans="1:28" s="131" customFormat="1" ht="4.5" customHeight="1">
      <c r="A12" s="132"/>
      <c r="B12" s="72"/>
      <c r="C12" s="133"/>
      <c r="D12" s="72"/>
      <c r="E12" s="134"/>
      <c r="F12" s="134"/>
      <c r="G12" s="134"/>
      <c r="H12" s="134"/>
      <c r="I12" s="134"/>
      <c r="J12" s="134"/>
      <c r="K12" s="134"/>
      <c r="L12" s="135"/>
      <c r="M12" s="135"/>
      <c r="N12" s="135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ht="12" customHeight="1">
      <c r="A13" s="122">
        <v>8</v>
      </c>
      <c r="B13" s="115"/>
      <c r="C13" s="116" t="s">
        <v>11</v>
      </c>
      <c r="D13" s="125">
        <v>300</v>
      </c>
      <c r="E13" s="126">
        <f aca="true" t="shared" si="14" ref="E13:N13">0.2*E23</f>
        <v>352.00000000000006</v>
      </c>
      <c r="F13" s="126">
        <f t="shared" si="14"/>
        <v>374.00000000000006</v>
      </c>
      <c r="G13" s="126">
        <f t="shared" si="14"/>
        <v>396.00000000000006</v>
      </c>
      <c r="H13" s="126">
        <f t="shared" si="14"/>
        <v>418</v>
      </c>
      <c r="I13" s="126">
        <f t="shared" si="14"/>
        <v>440</v>
      </c>
      <c r="J13" s="127">
        <f t="shared" si="14"/>
        <v>462</v>
      </c>
      <c r="K13" s="127">
        <f t="shared" si="14"/>
        <v>484</v>
      </c>
      <c r="L13" s="128">
        <f t="shared" si="14"/>
        <v>506</v>
      </c>
      <c r="M13" s="128">
        <f t="shared" si="14"/>
        <v>516.1200000000001</v>
      </c>
      <c r="N13" s="128">
        <f t="shared" si="14"/>
        <v>526.4424000000001</v>
      </c>
      <c r="O13" s="34">
        <f aca="true" t="shared" si="15" ref="O13:AB13">0.2*O23</f>
        <v>536.9712480000002</v>
      </c>
      <c r="P13" s="34">
        <f t="shared" si="15"/>
        <v>547.7106729600001</v>
      </c>
      <c r="Q13" s="34">
        <f t="shared" si="15"/>
        <v>558.6648864192001</v>
      </c>
      <c r="R13" s="34">
        <f t="shared" si="15"/>
        <v>569.8381841475841</v>
      </c>
      <c r="S13" s="34">
        <f t="shared" si="15"/>
        <v>581.2349478305358</v>
      </c>
      <c r="T13" s="34">
        <f t="shared" si="15"/>
        <v>592.8596467871465</v>
      </c>
      <c r="U13" s="34">
        <f t="shared" si="15"/>
        <v>604.7168397228895</v>
      </c>
      <c r="V13" s="34">
        <f t="shared" si="15"/>
        <v>616.8111765173473</v>
      </c>
      <c r="W13" s="34">
        <f t="shared" si="15"/>
        <v>629.1474000476942</v>
      </c>
      <c r="X13" s="34">
        <f t="shared" si="15"/>
        <v>641.7303480486481</v>
      </c>
      <c r="Y13" s="34">
        <f t="shared" si="15"/>
        <v>654.564955009621</v>
      </c>
      <c r="Z13" s="34">
        <f t="shared" si="15"/>
        <v>667.6562541098135</v>
      </c>
      <c r="AA13" s="34">
        <f t="shared" si="15"/>
        <v>681.0093791920098</v>
      </c>
      <c r="AB13" s="34">
        <f t="shared" si="15"/>
        <v>694.62956677585</v>
      </c>
    </row>
    <row r="14" spans="1:28" ht="12" customHeight="1">
      <c r="A14" s="123">
        <v>9</v>
      </c>
      <c r="B14" s="118"/>
      <c r="C14" s="119" t="s">
        <v>12</v>
      </c>
      <c r="D14" s="57">
        <v>1800</v>
      </c>
      <c r="E14" s="57">
        <v>1800</v>
      </c>
      <c r="F14" s="57">
        <v>2300</v>
      </c>
      <c r="G14" s="57">
        <v>2300</v>
      </c>
      <c r="H14" s="57">
        <v>2000</v>
      </c>
      <c r="I14" s="57">
        <v>1800</v>
      </c>
      <c r="J14" s="55">
        <v>1700</v>
      </c>
      <c r="K14" s="55">
        <v>1500</v>
      </c>
      <c r="L14" s="50">
        <v>1300</v>
      </c>
      <c r="M14" s="50">
        <v>1000</v>
      </c>
      <c r="N14" s="50">
        <f aca="true" t="shared" si="16" ref="N14:AB14">M14*(1+$O$3)</f>
        <v>1020</v>
      </c>
      <c r="O14" s="4">
        <f t="shared" si="16"/>
        <v>1040.4</v>
      </c>
      <c r="P14" s="4">
        <f t="shared" si="16"/>
        <v>1061.208</v>
      </c>
      <c r="Q14" s="4">
        <f t="shared" si="16"/>
        <v>1082.43216</v>
      </c>
      <c r="R14" s="4">
        <f t="shared" si="16"/>
        <v>1104.0808032</v>
      </c>
      <c r="S14" s="4">
        <f t="shared" si="16"/>
        <v>1126.162419264</v>
      </c>
      <c r="T14" s="4">
        <f t="shared" si="16"/>
        <v>1148.68566764928</v>
      </c>
      <c r="U14" s="4">
        <f t="shared" si="16"/>
        <v>1171.6593810022657</v>
      </c>
      <c r="V14" s="4">
        <f t="shared" si="16"/>
        <v>1195.092568622311</v>
      </c>
      <c r="W14" s="4">
        <f t="shared" si="16"/>
        <v>1218.9944199947574</v>
      </c>
      <c r="X14" s="4">
        <f t="shared" si="16"/>
        <v>1243.3743083946526</v>
      </c>
      <c r="Y14" s="4">
        <f t="shared" si="16"/>
        <v>1268.2417945625457</v>
      </c>
      <c r="Z14" s="4">
        <f t="shared" si="16"/>
        <v>1293.6066304537967</v>
      </c>
      <c r="AA14" s="4">
        <f t="shared" si="16"/>
        <v>1319.4787630628728</v>
      </c>
      <c r="AB14" s="4">
        <f t="shared" si="16"/>
        <v>1345.8683383241303</v>
      </c>
    </row>
    <row r="15" spans="1:28" ht="12" customHeight="1">
      <c r="A15" s="123">
        <v>10</v>
      </c>
      <c r="B15" s="118"/>
      <c r="C15" s="119" t="s">
        <v>13</v>
      </c>
      <c r="D15" s="53">
        <v>500</v>
      </c>
      <c r="E15" s="54">
        <f>D15+E30-E38</f>
        <v>516</v>
      </c>
      <c r="F15" s="54">
        <f>E15+F30-F38</f>
        <v>633</v>
      </c>
      <c r="G15" s="54">
        <f>F15+G30-G38</f>
        <v>700</v>
      </c>
      <c r="H15" s="54">
        <f>G15+H30-H38</f>
        <v>766</v>
      </c>
      <c r="I15" s="54">
        <f>H15+I30-I38</f>
        <v>933</v>
      </c>
      <c r="J15" s="56">
        <f>I15+J30-J38</f>
        <v>1220</v>
      </c>
      <c r="K15" s="56">
        <f>J15+K30-K38</f>
        <v>1486</v>
      </c>
      <c r="L15" s="51">
        <f>K15+L30-L38</f>
        <v>1752.9999999999998</v>
      </c>
      <c r="M15" s="51">
        <f>L15+M30-M38</f>
        <v>2083.6000000000004</v>
      </c>
      <c r="N15" s="51">
        <f>M15+N30-N38</f>
        <v>2094.871999999999</v>
      </c>
      <c r="O15" s="34">
        <f>N15+O30-O38</f>
        <v>2106.3694399999995</v>
      </c>
      <c r="P15" s="34">
        <f>O15+P30-P38</f>
        <v>2118.096828799999</v>
      </c>
      <c r="Q15" s="34">
        <f>P15+Q30-Q38</f>
        <v>2130.0587653759994</v>
      </c>
      <c r="R15" s="34">
        <f>Q15+R30-R38</f>
        <v>2142.259940683519</v>
      </c>
      <c r="S15" s="34">
        <f>R15+S30-S38</f>
        <v>2154.7051394971895</v>
      </c>
      <c r="T15" s="34">
        <f>S15+T30-T38</f>
        <v>2167.3992422871324</v>
      </c>
      <c r="U15" s="34">
        <f>T15+U30-U38</f>
        <v>2180.3472271328747</v>
      </c>
      <c r="V15" s="34">
        <f>U15+V30-V38</f>
        <v>2193.5541716755324</v>
      </c>
      <c r="W15" s="34">
        <f>V15+W30-W38</f>
        <v>2207.025255109043</v>
      </c>
      <c r="X15" s="34">
        <f>W15+X30-X38</f>
        <v>2220.765760211224</v>
      </c>
      <c r="Y15" s="34">
        <f>X15+Y30-Y38</f>
        <v>2234.78107541545</v>
      </c>
      <c r="Z15" s="34">
        <f>Y15+Z30-Z38</f>
        <v>2249.0766969237575</v>
      </c>
      <c r="AA15" s="34">
        <f>Z15+AA30-AA38</f>
        <v>2263.6582308622346</v>
      </c>
      <c r="AB15" s="34">
        <f>AA15+AB30-AB38</f>
        <v>2278.531395479481</v>
      </c>
    </row>
    <row r="16" spans="1:28" s="39" customFormat="1" ht="12" customHeight="1">
      <c r="A16" s="124">
        <v>11</v>
      </c>
      <c r="B16" s="43"/>
      <c r="C16" s="121" t="s">
        <v>14</v>
      </c>
      <c r="D16" s="58">
        <f aca="true" t="shared" si="17" ref="D16:M16">D13+D14+D15</f>
        <v>2600</v>
      </c>
      <c r="E16" s="58">
        <f t="shared" si="17"/>
        <v>2668</v>
      </c>
      <c r="F16" s="58">
        <f t="shared" si="17"/>
        <v>3307</v>
      </c>
      <c r="G16" s="58">
        <f t="shared" si="17"/>
        <v>3396</v>
      </c>
      <c r="H16" s="58">
        <f t="shared" si="17"/>
        <v>3184</v>
      </c>
      <c r="I16" s="58">
        <f t="shared" si="17"/>
        <v>3173</v>
      </c>
      <c r="J16" s="58">
        <f t="shared" si="17"/>
        <v>3382</v>
      </c>
      <c r="K16" s="58">
        <f t="shared" si="17"/>
        <v>3470</v>
      </c>
      <c r="L16" s="52">
        <f t="shared" si="17"/>
        <v>3559</v>
      </c>
      <c r="M16" s="52">
        <f t="shared" si="17"/>
        <v>3599.7200000000003</v>
      </c>
      <c r="N16" s="52">
        <f aca="true" t="shared" si="18" ref="N16:AB16">N13+N14+N15</f>
        <v>3641.3143999999993</v>
      </c>
      <c r="O16" s="48">
        <f t="shared" si="18"/>
        <v>3683.740688</v>
      </c>
      <c r="P16" s="48">
        <f t="shared" si="18"/>
        <v>3727.015501759999</v>
      </c>
      <c r="Q16" s="48">
        <f t="shared" si="18"/>
        <v>3771.1558117951995</v>
      </c>
      <c r="R16" s="48">
        <f t="shared" si="18"/>
        <v>3816.178928031103</v>
      </c>
      <c r="S16" s="48">
        <f t="shared" si="18"/>
        <v>3862.102506591725</v>
      </c>
      <c r="T16" s="48">
        <f t="shared" si="18"/>
        <v>3908.944556723559</v>
      </c>
      <c r="U16" s="48">
        <f t="shared" si="18"/>
        <v>3956.72344785803</v>
      </c>
      <c r="V16" s="48">
        <f t="shared" si="18"/>
        <v>4005.457916815191</v>
      </c>
      <c r="W16" s="48">
        <f t="shared" si="18"/>
        <v>4055.167075151495</v>
      </c>
      <c r="X16" s="48">
        <f t="shared" si="18"/>
        <v>4105.870416654525</v>
      </c>
      <c r="Y16" s="48">
        <f t="shared" si="18"/>
        <v>4157.587824987617</v>
      </c>
      <c r="Z16" s="48">
        <f t="shared" si="18"/>
        <v>4210.3395814873675</v>
      </c>
      <c r="AA16" s="48">
        <f t="shared" si="18"/>
        <v>4264.146373117117</v>
      </c>
      <c r="AB16" s="48">
        <f t="shared" si="18"/>
        <v>4319.029300579461</v>
      </c>
    </row>
    <row r="17" spans="1:28" ht="12" customHeight="1">
      <c r="A17" s="19"/>
      <c r="B17" s="24"/>
      <c r="C17" s="16"/>
      <c r="D17" s="12"/>
      <c r="E17" s="77"/>
      <c r="F17" s="77"/>
      <c r="G17" s="77"/>
      <c r="H17" s="77"/>
      <c r="I17" s="77"/>
      <c r="J17" s="77"/>
      <c r="K17" s="77"/>
      <c r="L17" s="78"/>
      <c r="M17" s="79"/>
      <c r="N17" s="78"/>
      <c r="O17" s="80"/>
      <c r="P17" s="80"/>
      <c r="Q17" s="80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" customHeight="1">
      <c r="A18" s="19">
        <v>12</v>
      </c>
      <c r="B18" s="25"/>
      <c r="C18" s="10" t="s">
        <v>15</v>
      </c>
      <c r="D18" s="60">
        <f aca="true" t="shared" si="19" ref="D18:M18">D5+D6+D7-D13</f>
        <v>1000</v>
      </c>
      <c r="E18" s="60">
        <f t="shared" si="19"/>
        <v>1066</v>
      </c>
      <c r="F18" s="60">
        <f t="shared" si="19"/>
        <v>1133</v>
      </c>
      <c r="G18" s="60">
        <f t="shared" si="19"/>
        <v>1200</v>
      </c>
      <c r="H18" s="60">
        <f t="shared" si="19"/>
        <v>1266</v>
      </c>
      <c r="I18" s="60">
        <f t="shared" si="19"/>
        <v>1333</v>
      </c>
      <c r="J18" s="60">
        <f t="shared" si="19"/>
        <v>1400</v>
      </c>
      <c r="K18" s="60">
        <f t="shared" si="19"/>
        <v>1466</v>
      </c>
      <c r="L18" s="61">
        <f t="shared" si="19"/>
        <v>1533</v>
      </c>
      <c r="M18" s="61">
        <f t="shared" si="19"/>
        <v>1563.6000000000001</v>
      </c>
      <c r="N18" s="61">
        <f aca="true" t="shared" si="20" ref="N18:AB18">N5+N6+N7-N13</f>
        <v>1594.872</v>
      </c>
      <c r="O18" s="26">
        <f t="shared" si="20"/>
        <v>1626.76944</v>
      </c>
      <c r="P18" s="26">
        <f t="shared" si="20"/>
        <v>1659.3048288</v>
      </c>
      <c r="Q18" s="26">
        <f t="shared" si="20"/>
        <v>1692.4909253760002</v>
      </c>
      <c r="R18" s="26">
        <f t="shared" si="20"/>
        <v>1726.34074388352</v>
      </c>
      <c r="S18" s="26">
        <f t="shared" si="20"/>
        <v>1760.8675587611901</v>
      </c>
      <c r="T18" s="26">
        <f t="shared" si="20"/>
        <v>1796.084909936414</v>
      </c>
      <c r="U18" s="26">
        <f t="shared" si="20"/>
        <v>1832.0066081351426</v>
      </c>
      <c r="V18" s="26">
        <f t="shared" si="20"/>
        <v>1868.6467402978458</v>
      </c>
      <c r="W18" s="26">
        <f t="shared" si="20"/>
        <v>1906.0196751038025</v>
      </c>
      <c r="X18" s="26">
        <f t="shared" si="20"/>
        <v>1944.1400686058787</v>
      </c>
      <c r="Y18" s="26">
        <f t="shared" si="20"/>
        <v>1983.0228699779964</v>
      </c>
      <c r="Z18" s="26">
        <f t="shared" si="20"/>
        <v>2022.6833273775558</v>
      </c>
      <c r="AA18" s="26">
        <f t="shared" si="20"/>
        <v>2063.136993925107</v>
      </c>
      <c r="AB18" s="26">
        <f t="shared" si="20"/>
        <v>2104.3997338036093</v>
      </c>
    </row>
    <row r="19" spans="1:28" ht="12" customHeight="1">
      <c r="A19" s="19"/>
      <c r="B19" s="24"/>
      <c r="C19" s="16"/>
      <c r="D19" s="2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ht="12" customHeight="1">
      <c r="A20" s="19"/>
      <c r="B20" s="45"/>
      <c r="C20" s="16"/>
      <c r="D20" s="24"/>
      <c r="E20" s="12"/>
      <c r="F20" s="12"/>
      <c r="G20" s="12"/>
      <c r="H20" s="12"/>
      <c r="I20" s="12"/>
      <c r="J20" s="12"/>
      <c r="K20" s="12"/>
      <c r="L20" s="12"/>
      <c r="M20" s="15"/>
      <c r="N20" s="15"/>
      <c r="O20" s="12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3.5" customHeight="1">
      <c r="A21" s="19"/>
      <c r="B21"/>
      <c r="C21"/>
      <c r="D21" s="72"/>
      <c r="E21" s="76">
        <v>1</v>
      </c>
      <c r="F21" s="76">
        <f aca="true" t="shared" si="21" ref="F21:U21">E21+1</f>
        <v>2</v>
      </c>
      <c r="G21" s="76">
        <f t="shared" si="21"/>
        <v>3</v>
      </c>
      <c r="H21" s="76">
        <f t="shared" si="21"/>
        <v>4</v>
      </c>
      <c r="I21" s="76">
        <f t="shared" si="21"/>
        <v>5</v>
      </c>
      <c r="J21" s="76">
        <f t="shared" si="21"/>
        <v>6</v>
      </c>
      <c r="K21" s="76">
        <f t="shared" si="21"/>
        <v>7</v>
      </c>
      <c r="L21" s="76">
        <f t="shared" si="21"/>
        <v>8</v>
      </c>
      <c r="M21" s="76">
        <f t="shared" si="21"/>
        <v>9</v>
      </c>
      <c r="N21" s="76">
        <f t="shared" si="21"/>
        <v>10</v>
      </c>
      <c r="O21" s="153">
        <f t="shared" si="21"/>
        <v>11</v>
      </c>
      <c r="P21" s="12">
        <f t="shared" si="21"/>
        <v>12</v>
      </c>
      <c r="Q21" s="12">
        <f t="shared" si="21"/>
        <v>13</v>
      </c>
      <c r="R21" s="12">
        <f t="shared" si="21"/>
        <v>14</v>
      </c>
      <c r="S21" s="12">
        <f t="shared" si="21"/>
        <v>15</v>
      </c>
      <c r="T21" s="12">
        <f t="shared" si="21"/>
        <v>16</v>
      </c>
      <c r="U21" s="24">
        <f t="shared" si="21"/>
        <v>17</v>
      </c>
      <c r="V21" s="24">
        <f aca="true" t="shared" si="22" ref="V21:AB21">U21+1</f>
        <v>18</v>
      </c>
      <c r="W21" s="24">
        <f t="shared" si="22"/>
        <v>19</v>
      </c>
      <c r="X21" s="24">
        <f t="shared" si="22"/>
        <v>20</v>
      </c>
      <c r="Y21" s="24">
        <f t="shared" si="22"/>
        <v>21</v>
      </c>
      <c r="Z21" s="24">
        <f t="shared" si="22"/>
        <v>22</v>
      </c>
      <c r="AA21" s="24">
        <f t="shared" si="22"/>
        <v>23</v>
      </c>
      <c r="AB21" s="24">
        <f t="shared" si="22"/>
        <v>24</v>
      </c>
    </row>
    <row r="22" spans="1:28" ht="12.75" customHeight="1">
      <c r="A22" s="122">
        <v>14</v>
      </c>
      <c r="B22" s="140"/>
      <c r="C22" s="141" t="s">
        <v>16</v>
      </c>
      <c r="D22" s="142"/>
      <c r="E22" s="57">
        <v>3200</v>
      </c>
      <c r="F22" s="57">
        <v>3400</v>
      </c>
      <c r="G22" s="57">
        <v>3600</v>
      </c>
      <c r="H22" s="57">
        <v>3800</v>
      </c>
      <c r="I22" s="57">
        <v>4000</v>
      </c>
      <c r="J22" s="55">
        <v>4200</v>
      </c>
      <c r="K22" s="55">
        <v>4400</v>
      </c>
      <c r="L22" s="55">
        <v>4600</v>
      </c>
      <c r="M22" s="55">
        <f aca="true" t="shared" si="23" ref="M22:AB22">L22*(1+$O$3)</f>
        <v>4692</v>
      </c>
      <c r="N22" s="63">
        <f t="shared" si="23"/>
        <v>4785.84</v>
      </c>
      <c r="O22" s="32">
        <f t="shared" si="23"/>
        <v>4881.5568</v>
      </c>
      <c r="P22" s="4">
        <f t="shared" si="23"/>
        <v>4979.187936</v>
      </c>
      <c r="Q22" s="4">
        <f t="shared" si="23"/>
        <v>5078.771694720001</v>
      </c>
      <c r="R22" s="4">
        <f t="shared" si="23"/>
        <v>5180.3471286144</v>
      </c>
      <c r="S22" s="4">
        <f t="shared" si="23"/>
        <v>5283.954071186688</v>
      </c>
      <c r="T22" s="4">
        <f t="shared" si="23"/>
        <v>5389.633152610422</v>
      </c>
      <c r="U22" s="4">
        <f t="shared" si="23"/>
        <v>5497.425815662631</v>
      </c>
      <c r="V22" s="4">
        <f t="shared" si="23"/>
        <v>5607.374331975884</v>
      </c>
      <c r="W22" s="4">
        <f t="shared" si="23"/>
        <v>5719.521818615402</v>
      </c>
      <c r="X22" s="4">
        <f t="shared" si="23"/>
        <v>5833.912254987709</v>
      </c>
      <c r="Y22" s="4">
        <f t="shared" si="23"/>
        <v>5950.590500087464</v>
      </c>
      <c r="Z22" s="4">
        <f t="shared" si="23"/>
        <v>6069.602310089213</v>
      </c>
      <c r="AA22" s="4">
        <f t="shared" si="23"/>
        <v>6190.994356290997</v>
      </c>
      <c r="AB22" s="4">
        <f t="shared" si="23"/>
        <v>6314.814243416817</v>
      </c>
    </row>
    <row r="23" spans="1:28" ht="12" customHeight="1">
      <c r="A23" s="123">
        <v>15</v>
      </c>
      <c r="B23" s="143"/>
      <c r="C23" s="144" t="s">
        <v>17</v>
      </c>
      <c r="D23" s="145"/>
      <c r="E23" s="54">
        <f>E22*0.55</f>
        <v>1760.0000000000002</v>
      </c>
      <c r="F23" s="54">
        <f aca="true" t="shared" si="24" ref="F23:AB23">F22*0.55</f>
        <v>1870.0000000000002</v>
      </c>
      <c r="G23" s="54">
        <f t="shared" si="24"/>
        <v>1980.0000000000002</v>
      </c>
      <c r="H23" s="54">
        <f t="shared" si="24"/>
        <v>2090</v>
      </c>
      <c r="I23" s="54">
        <f t="shared" si="24"/>
        <v>2200</v>
      </c>
      <c r="J23" s="54">
        <f t="shared" si="24"/>
        <v>2310</v>
      </c>
      <c r="K23" s="54">
        <f t="shared" si="24"/>
        <v>2420</v>
      </c>
      <c r="L23" s="54">
        <f t="shared" si="24"/>
        <v>2530</v>
      </c>
      <c r="M23" s="54">
        <f t="shared" si="24"/>
        <v>2580.6000000000004</v>
      </c>
      <c r="N23" s="54">
        <f t="shared" si="24"/>
        <v>2632.2120000000004</v>
      </c>
      <c r="O23" s="54">
        <f t="shared" si="24"/>
        <v>2684.8562400000005</v>
      </c>
      <c r="P23" s="54">
        <f t="shared" si="24"/>
        <v>2738.5533648000005</v>
      </c>
      <c r="Q23" s="54">
        <f t="shared" si="24"/>
        <v>2793.3244320960007</v>
      </c>
      <c r="R23" s="54">
        <f t="shared" si="24"/>
        <v>2849.1909207379204</v>
      </c>
      <c r="S23" s="54">
        <f t="shared" si="24"/>
        <v>2906.1747391526787</v>
      </c>
      <c r="T23" s="54">
        <f t="shared" si="24"/>
        <v>2964.2982339357327</v>
      </c>
      <c r="U23" s="54">
        <f t="shared" si="24"/>
        <v>3023.5841986144474</v>
      </c>
      <c r="V23" s="54">
        <f t="shared" si="24"/>
        <v>3084.0558825867365</v>
      </c>
      <c r="W23" s="54">
        <f t="shared" si="24"/>
        <v>3145.737000238471</v>
      </c>
      <c r="X23" s="54">
        <f t="shared" si="24"/>
        <v>3208.6517402432405</v>
      </c>
      <c r="Y23" s="54">
        <f t="shared" si="24"/>
        <v>3272.824775048105</v>
      </c>
      <c r="Z23" s="54">
        <f t="shared" si="24"/>
        <v>3338.2812705490674</v>
      </c>
      <c r="AA23" s="54">
        <f t="shared" si="24"/>
        <v>3405.0468959600485</v>
      </c>
      <c r="AB23" s="54">
        <f t="shared" si="24"/>
        <v>3473.1478338792494</v>
      </c>
    </row>
    <row r="24" spans="1:28" ht="12" customHeight="1">
      <c r="A24" s="123">
        <v>16</v>
      </c>
      <c r="B24" s="143"/>
      <c r="C24" s="144" t="s">
        <v>18</v>
      </c>
      <c r="D24" s="145"/>
      <c r="E24" s="54">
        <f aca="true" t="shared" si="25" ref="E24:N24">0.25*E22</f>
        <v>800</v>
      </c>
      <c r="F24" s="54">
        <f t="shared" si="25"/>
        <v>850</v>
      </c>
      <c r="G24" s="54">
        <f t="shared" si="25"/>
        <v>900</v>
      </c>
      <c r="H24" s="54">
        <f t="shared" si="25"/>
        <v>950</v>
      </c>
      <c r="I24" s="54">
        <f t="shared" si="25"/>
        <v>1000</v>
      </c>
      <c r="J24" s="54">
        <f t="shared" si="25"/>
        <v>1050</v>
      </c>
      <c r="K24" s="54">
        <f t="shared" si="25"/>
        <v>1100</v>
      </c>
      <c r="L24" s="54">
        <f t="shared" si="25"/>
        <v>1150</v>
      </c>
      <c r="M24" s="53">
        <f t="shared" si="25"/>
        <v>1173</v>
      </c>
      <c r="N24" s="67">
        <f t="shared" si="25"/>
        <v>1196.46</v>
      </c>
      <c r="O24" s="85">
        <f aca="true" t="shared" si="26" ref="O24:AB24">0.25*O22</f>
        <v>1220.3892</v>
      </c>
      <c r="P24" s="44">
        <f t="shared" si="26"/>
        <v>1244.796984</v>
      </c>
      <c r="Q24" s="23">
        <f t="shared" si="26"/>
        <v>1269.6929236800001</v>
      </c>
      <c r="R24" s="23">
        <f t="shared" si="26"/>
        <v>1295.0867821536</v>
      </c>
      <c r="S24" s="23">
        <f t="shared" si="26"/>
        <v>1320.988517796672</v>
      </c>
      <c r="T24" s="23">
        <f t="shared" si="26"/>
        <v>1347.4082881526056</v>
      </c>
      <c r="U24" s="23">
        <f t="shared" si="26"/>
        <v>1374.3564539156578</v>
      </c>
      <c r="V24" s="23">
        <f t="shared" si="26"/>
        <v>1401.843582993971</v>
      </c>
      <c r="W24" s="23">
        <f t="shared" si="26"/>
        <v>1429.8804546538504</v>
      </c>
      <c r="X24" s="23">
        <f t="shared" si="26"/>
        <v>1458.4780637469273</v>
      </c>
      <c r="Y24" s="23">
        <f t="shared" si="26"/>
        <v>1487.647625021866</v>
      </c>
      <c r="Z24" s="23">
        <f t="shared" si="26"/>
        <v>1517.4005775223031</v>
      </c>
      <c r="AA24" s="23">
        <f t="shared" si="26"/>
        <v>1547.7485890727492</v>
      </c>
      <c r="AB24" s="23">
        <f t="shared" si="26"/>
        <v>1578.7035608542042</v>
      </c>
    </row>
    <row r="25" spans="1:28" ht="12" customHeight="1">
      <c r="A25" s="123">
        <v>17</v>
      </c>
      <c r="B25" s="143"/>
      <c r="C25" s="144" t="s">
        <v>19</v>
      </c>
      <c r="D25" s="145"/>
      <c r="E25" s="57">
        <v>350</v>
      </c>
      <c r="F25" s="57">
        <v>350</v>
      </c>
      <c r="G25" s="57">
        <v>400</v>
      </c>
      <c r="H25" s="57">
        <v>500</v>
      </c>
      <c r="I25" s="66">
        <f>0.2*H10</f>
        <v>300</v>
      </c>
      <c r="J25" s="66">
        <f>0.2*I10</f>
        <v>280</v>
      </c>
      <c r="K25" s="66">
        <f>0.2*J10</f>
        <v>304</v>
      </c>
      <c r="L25" s="50">
        <f aca="true" t="shared" si="27" ref="L25:U25">K25*(1+$O$3)</f>
        <v>310.08</v>
      </c>
      <c r="M25" s="63">
        <f t="shared" si="27"/>
        <v>316.28159999999997</v>
      </c>
      <c r="N25" s="63">
        <f t="shared" si="27"/>
        <v>322.60723199999995</v>
      </c>
      <c r="O25" s="32">
        <f t="shared" si="27"/>
        <v>329.05937664</v>
      </c>
      <c r="P25" s="4">
        <f t="shared" si="27"/>
        <v>335.6405641728</v>
      </c>
      <c r="Q25" s="4">
        <f t="shared" si="27"/>
        <v>342.353375456256</v>
      </c>
      <c r="R25" s="4">
        <f t="shared" si="27"/>
        <v>349.2004429653811</v>
      </c>
      <c r="S25" s="4">
        <f t="shared" si="27"/>
        <v>356.1844518246887</v>
      </c>
      <c r="T25" s="4">
        <f t="shared" si="27"/>
        <v>363.3081408611825</v>
      </c>
      <c r="U25" s="4">
        <f t="shared" si="27"/>
        <v>370.5743036784061</v>
      </c>
      <c r="V25" s="4">
        <f aca="true" t="shared" si="28" ref="V25:AB25">U25*(1+$O$3)</f>
        <v>377.98578975197427</v>
      </c>
      <c r="W25" s="4">
        <f t="shared" si="28"/>
        <v>385.54550554701376</v>
      </c>
      <c r="X25" s="4">
        <f t="shared" si="28"/>
        <v>393.25641565795405</v>
      </c>
      <c r="Y25" s="4">
        <f t="shared" si="28"/>
        <v>401.1215439711131</v>
      </c>
      <c r="Z25" s="4">
        <f t="shared" si="28"/>
        <v>409.14397485053536</v>
      </c>
      <c r="AA25" s="4">
        <f t="shared" si="28"/>
        <v>417.3268543475461</v>
      </c>
      <c r="AB25" s="4">
        <f t="shared" si="28"/>
        <v>425.67339143449703</v>
      </c>
    </row>
    <row r="26" spans="1:28" ht="12" customHeight="1">
      <c r="A26" s="123">
        <v>18</v>
      </c>
      <c r="B26" s="146"/>
      <c r="C26" s="131" t="s">
        <v>20</v>
      </c>
      <c r="D26" s="147"/>
      <c r="E26" s="57">
        <f aca="true" t="shared" si="29" ref="E26:N26">E22-E23-E24-E25</f>
        <v>289.9999999999998</v>
      </c>
      <c r="F26" s="57">
        <f t="shared" si="29"/>
        <v>329.9999999999998</v>
      </c>
      <c r="G26" s="57">
        <f t="shared" si="29"/>
        <v>319.9999999999998</v>
      </c>
      <c r="H26" s="57">
        <f t="shared" si="29"/>
        <v>260</v>
      </c>
      <c r="I26" s="68">
        <f t="shared" si="29"/>
        <v>500</v>
      </c>
      <c r="J26" s="55">
        <f t="shared" si="29"/>
        <v>560</v>
      </c>
      <c r="K26" s="55">
        <f t="shared" si="29"/>
        <v>576</v>
      </c>
      <c r="L26" s="50">
        <f t="shared" si="29"/>
        <v>609.9200000000001</v>
      </c>
      <c r="M26" s="63">
        <f t="shared" si="29"/>
        <v>622.1183999999996</v>
      </c>
      <c r="N26" s="63">
        <f t="shared" si="29"/>
        <v>634.5607679999997</v>
      </c>
      <c r="O26" s="32">
        <f aca="true" t="shared" si="30" ref="O26:AB26">O22-O23-O24-O25</f>
        <v>647.2519833599997</v>
      </c>
      <c r="P26" s="4">
        <f t="shared" si="30"/>
        <v>660.1970230271997</v>
      </c>
      <c r="Q26" s="4">
        <f t="shared" si="30"/>
        <v>673.4009634877438</v>
      </c>
      <c r="R26" s="4">
        <f t="shared" si="30"/>
        <v>686.8689827574988</v>
      </c>
      <c r="S26" s="4">
        <f t="shared" si="30"/>
        <v>700.6063624126489</v>
      </c>
      <c r="T26" s="4">
        <f t="shared" si="30"/>
        <v>714.6184896609016</v>
      </c>
      <c r="U26" s="4">
        <f t="shared" si="30"/>
        <v>728.9108594541199</v>
      </c>
      <c r="V26" s="4">
        <f t="shared" si="30"/>
        <v>743.4890766432023</v>
      </c>
      <c r="W26" s="4">
        <f t="shared" si="30"/>
        <v>758.3588581760664</v>
      </c>
      <c r="X26" s="4">
        <f t="shared" si="30"/>
        <v>773.5260353395875</v>
      </c>
      <c r="Y26" s="4">
        <f t="shared" si="30"/>
        <v>788.9965560463795</v>
      </c>
      <c r="Z26" s="4">
        <f t="shared" si="30"/>
        <v>804.7764871673066</v>
      </c>
      <c r="AA26" s="4">
        <f t="shared" si="30"/>
        <v>820.872016910653</v>
      </c>
      <c r="AB26" s="4">
        <f t="shared" si="30"/>
        <v>837.289457248866</v>
      </c>
    </row>
    <row r="27" spans="1:28" ht="12" customHeight="1">
      <c r="A27" s="123">
        <v>19</v>
      </c>
      <c r="B27" s="146"/>
      <c r="C27" s="131" t="s">
        <v>21</v>
      </c>
      <c r="D27" s="147"/>
      <c r="E27" s="68">
        <f>D14*D61</f>
        <v>126.00000000000001</v>
      </c>
      <c r="F27" s="68">
        <f>E14*E61</f>
        <v>126.00000000000001</v>
      </c>
      <c r="G27" s="68">
        <f>F14*F61</f>
        <v>161.00000000000003</v>
      </c>
      <c r="H27" s="68">
        <f>G14*G61</f>
        <v>161.00000000000003</v>
      </c>
      <c r="I27" s="68">
        <f>H14*H61</f>
        <v>140</v>
      </c>
      <c r="J27" s="68">
        <f>I14*I61</f>
        <v>126.00000000000001</v>
      </c>
      <c r="K27" s="68">
        <f>J14*J61</f>
        <v>119.00000000000001</v>
      </c>
      <c r="L27" s="68">
        <f>K14*K61</f>
        <v>105.00000000000001</v>
      </c>
      <c r="M27" s="68">
        <f>L14*L61</f>
        <v>91.00000000000001</v>
      </c>
      <c r="N27" s="68">
        <f>M14*M61</f>
        <v>70</v>
      </c>
      <c r="O27" s="68">
        <f>N14*N61</f>
        <v>71.4</v>
      </c>
      <c r="P27" s="68">
        <f>O14*O61</f>
        <v>72.82800000000002</v>
      </c>
      <c r="Q27" s="68">
        <f>P14*P61</f>
        <v>74.28456000000001</v>
      </c>
      <c r="R27" s="68">
        <f>Q14*Q61</f>
        <v>75.77025120000002</v>
      </c>
      <c r="S27" s="68">
        <f>R14*R61</f>
        <v>77.28565622400001</v>
      </c>
      <c r="T27" s="68">
        <f>S14*S61</f>
        <v>78.83136934848001</v>
      </c>
      <c r="U27" s="68">
        <f>T14*T61</f>
        <v>80.40799673544961</v>
      </c>
      <c r="V27" s="68">
        <f>U14*U61</f>
        <v>82.01615667015861</v>
      </c>
      <c r="W27" s="68">
        <f>V14*V61</f>
        <v>83.65647980356178</v>
      </c>
      <c r="X27" s="68">
        <f>W14*W61</f>
        <v>85.32960939963303</v>
      </c>
      <c r="Y27" s="68">
        <f>X14*X61</f>
        <v>87.0362015876257</v>
      </c>
      <c r="Z27" s="68">
        <f>Y14*Y61</f>
        <v>88.7769256193782</v>
      </c>
      <c r="AA27" s="68">
        <f>Z14*Z61</f>
        <v>90.55246413176577</v>
      </c>
      <c r="AB27" s="68">
        <f>AA14*AA61</f>
        <v>92.3635134144011</v>
      </c>
    </row>
    <row r="28" spans="1:28" s="39" customFormat="1" ht="12" customHeight="1">
      <c r="A28" s="124">
        <v>20</v>
      </c>
      <c r="B28" s="148"/>
      <c r="C28" s="39" t="s">
        <v>22</v>
      </c>
      <c r="D28" s="149"/>
      <c r="E28" s="69">
        <f aca="true" t="shared" si="31" ref="E28:N28">E26-E27</f>
        <v>163.99999999999977</v>
      </c>
      <c r="F28" s="69">
        <f t="shared" si="31"/>
        <v>203.99999999999977</v>
      </c>
      <c r="G28" s="69">
        <f t="shared" si="31"/>
        <v>158.99999999999974</v>
      </c>
      <c r="H28" s="69">
        <f t="shared" si="31"/>
        <v>98.99999999999997</v>
      </c>
      <c r="I28" s="70">
        <f t="shared" si="31"/>
        <v>360</v>
      </c>
      <c r="J28" s="64">
        <f t="shared" si="31"/>
        <v>434</v>
      </c>
      <c r="K28" s="64">
        <f t="shared" si="31"/>
        <v>457</v>
      </c>
      <c r="L28" s="64">
        <f t="shared" si="31"/>
        <v>504.9200000000001</v>
      </c>
      <c r="M28" s="64">
        <f t="shared" si="31"/>
        <v>531.1183999999996</v>
      </c>
      <c r="N28" s="64">
        <f t="shared" si="31"/>
        <v>564.5607679999997</v>
      </c>
      <c r="O28" s="31">
        <f aca="true" t="shared" si="32" ref="O28:AB28">O26-O27</f>
        <v>575.8519833599997</v>
      </c>
      <c r="P28" s="33">
        <f t="shared" si="32"/>
        <v>587.3690230271998</v>
      </c>
      <c r="Q28" s="33">
        <f t="shared" si="32"/>
        <v>599.1164034877437</v>
      </c>
      <c r="R28" s="33">
        <f t="shared" si="32"/>
        <v>611.0987315574987</v>
      </c>
      <c r="S28" s="33">
        <f t="shared" si="32"/>
        <v>623.3207061886488</v>
      </c>
      <c r="T28" s="33">
        <f t="shared" si="32"/>
        <v>635.7871203124215</v>
      </c>
      <c r="U28" s="33">
        <f t="shared" si="32"/>
        <v>648.5028627186703</v>
      </c>
      <c r="V28" s="33">
        <f t="shared" si="32"/>
        <v>661.4729199730438</v>
      </c>
      <c r="W28" s="33">
        <f t="shared" si="32"/>
        <v>674.7023783725047</v>
      </c>
      <c r="X28" s="33">
        <f t="shared" si="32"/>
        <v>688.1964259399545</v>
      </c>
      <c r="Y28" s="33">
        <f t="shared" si="32"/>
        <v>701.9603544587538</v>
      </c>
      <c r="Z28" s="33">
        <f t="shared" si="32"/>
        <v>715.9995615479285</v>
      </c>
      <c r="AA28" s="33">
        <f t="shared" si="32"/>
        <v>730.3195527788872</v>
      </c>
      <c r="AB28" s="33">
        <f t="shared" si="32"/>
        <v>744.925943834465</v>
      </c>
    </row>
    <row r="29" spans="1:28" ht="12.75" customHeight="1">
      <c r="A29" s="123">
        <v>21</v>
      </c>
      <c r="B29" s="150"/>
      <c r="C29" s="131" t="s">
        <v>23</v>
      </c>
      <c r="D29" s="147"/>
      <c r="E29" s="66">
        <f>$D1*E28</f>
        <v>49.19999999999993</v>
      </c>
      <c r="F29" s="138">
        <f>$D1*F28</f>
        <v>61.19999999999993</v>
      </c>
      <c r="G29" s="68">
        <f>$D1*G28</f>
        <v>47.699999999999925</v>
      </c>
      <c r="H29" s="68">
        <f>$D1*H28</f>
        <v>29.69999999999999</v>
      </c>
      <c r="I29" s="68">
        <f>$D1*I28</f>
        <v>108</v>
      </c>
      <c r="J29" s="63">
        <f>$D1*J28</f>
        <v>130.2</v>
      </c>
      <c r="K29" s="63">
        <f>$D1*K28</f>
        <v>137.1</v>
      </c>
      <c r="L29" s="63">
        <f>$D1*L28</f>
        <v>151.47600000000003</v>
      </c>
      <c r="M29" s="63">
        <f>$D1*M28</f>
        <v>159.3355199999999</v>
      </c>
      <c r="N29" s="63">
        <f>$D1*N28</f>
        <v>169.3682303999999</v>
      </c>
      <c r="O29" s="32">
        <f>$D1*O28</f>
        <v>172.75559500799991</v>
      </c>
      <c r="P29" s="4">
        <f>$D1*P28</f>
        <v>176.21070690815992</v>
      </c>
      <c r="Q29" s="4">
        <f>$D1*Q28</f>
        <v>179.7349210463231</v>
      </c>
      <c r="R29" s="4">
        <f>$D1*R28</f>
        <v>183.32961946724961</v>
      </c>
      <c r="S29" s="4">
        <f>$D1*S28</f>
        <v>186.99621185659464</v>
      </c>
      <c r="T29" s="4">
        <f>$D1*T28</f>
        <v>190.73613609372646</v>
      </c>
      <c r="U29" s="4">
        <f>$D1*U28</f>
        <v>194.55085881560106</v>
      </c>
      <c r="V29" s="4">
        <f>$D1*V28</f>
        <v>198.44187599191312</v>
      </c>
      <c r="W29" s="4">
        <f>$D1*W28</f>
        <v>202.4107135117514</v>
      </c>
      <c r="X29" s="4">
        <f>$D1*X28</f>
        <v>206.45892778198632</v>
      </c>
      <c r="Y29" s="4">
        <f>$D1*Y28</f>
        <v>210.58810633762616</v>
      </c>
      <c r="Z29" s="4">
        <f>$D1*Z28</f>
        <v>214.79986846437853</v>
      </c>
      <c r="AA29" s="4">
        <f>$D1*AA28</f>
        <v>219.09586583366615</v>
      </c>
      <c r="AB29" s="4">
        <f>$D1*AB28</f>
        <v>223.4777831503395</v>
      </c>
    </row>
    <row r="30" spans="1:28" s="7" customFormat="1" ht="12" customHeight="1">
      <c r="A30" s="124">
        <v>22</v>
      </c>
      <c r="B30" s="151"/>
      <c r="C30" s="36" t="s">
        <v>24</v>
      </c>
      <c r="D30" s="86"/>
      <c r="E30" s="71">
        <f aca="true" t="shared" si="33" ref="E30:N30">E28-E29</f>
        <v>114.79999999999984</v>
      </c>
      <c r="F30" s="139">
        <f t="shared" si="33"/>
        <v>142.79999999999984</v>
      </c>
      <c r="G30" s="65">
        <f t="shared" si="33"/>
        <v>111.29999999999981</v>
      </c>
      <c r="H30" s="65">
        <f t="shared" si="33"/>
        <v>69.29999999999998</v>
      </c>
      <c r="I30" s="65">
        <f t="shared" si="33"/>
        <v>252</v>
      </c>
      <c r="J30" s="65">
        <f t="shared" si="33"/>
        <v>303.8</v>
      </c>
      <c r="K30" s="65">
        <f t="shared" si="33"/>
        <v>319.9</v>
      </c>
      <c r="L30" s="65">
        <f t="shared" si="33"/>
        <v>353.4440000000001</v>
      </c>
      <c r="M30" s="65">
        <f t="shared" si="33"/>
        <v>371.78287999999975</v>
      </c>
      <c r="N30" s="65">
        <f t="shared" si="33"/>
        <v>395.1925375999998</v>
      </c>
      <c r="O30" s="46">
        <f aca="true" t="shared" si="34" ref="O30:AB30">O28-O29</f>
        <v>403.09638835199985</v>
      </c>
      <c r="P30" s="47">
        <f t="shared" si="34"/>
        <v>411.15831611903985</v>
      </c>
      <c r="Q30" s="47">
        <f t="shared" si="34"/>
        <v>419.3814824414206</v>
      </c>
      <c r="R30" s="47">
        <f t="shared" si="34"/>
        <v>427.7691120902491</v>
      </c>
      <c r="S30" s="47">
        <f t="shared" si="34"/>
        <v>436.3244943320542</v>
      </c>
      <c r="T30" s="47">
        <f t="shared" si="34"/>
        <v>445.050984218695</v>
      </c>
      <c r="U30" s="47">
        <f t="shared" si="34"/>
        <v>453.9520039030692</v>
      </c>
      <c r="V30" s="47">
        <f t="shared" si="34"/>
        <v>463.03104398113067</v>
      </c>
      <c r="W30" s="47">
        <f t="shared" si="34"/>
        <v>472.29166486075326</v>
      </c>
      <c r="X30" s="47">
        <f t="shared" si="34"/>
        <v>481.73749815796816</v>
      </c>
      <c r="Y30" s="47">
        <f t="shared" si="34"/>
        <v>491.37224812112765</v>
      </c>
      <c r="Z30" s="47">
        <f t="shared" si="34"/>
        <v>501.19969308354996</v>
      </c>
      <c r="AA30" s="47">
        <f t="shared" si="34"/>
        <v>511.22368694522106</v>
      </c>
      <c r="AB30" s="47">
        <f t="shared" si="34"/>
        <v>521.4481606841255</v>
      </c>
    </row>
    <row r="31" spans="1:28" ht="10.5" hidden="1">
      <c r="A31" s="96" t="s">
        <v>25</v>
      </c>
      <c r="B31" s="146"/>
      <c r="C31" s="131"/>
      <c r="D31" s="147"/>
      <c r="E31" s="66"/>
      <c r="F31" s="68"/>
      <c r="G31" s="68"/>
      <c r="H31" s="68"/>
      <c r="I31" s="68"/>
      <c r="J31" s="63"/>
      <c r="K31" s="63"/>
      <c r="L31" s="63"/>
      <c r="M31" s="63"/>
      <c r="N31" s="63"/>
      <c r="O31" s="3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0.5" hidden="1">
      <c r="A32" s="96"/>
      <c r="B32" s="146"/>
      <c r="C32" s="131"/>
      <c r="D32" s="27">
        <v>0</v>
      </c>
      <c r="E32" s="59">
        <v>1</v>
      </c>
      <c r="F32" s="59">
        <f aca="true" t="shared" si="35" ref="F32:O32">E32+1</f>
        <v>2</v>
      </c>
      <c r="G32" s="59">
        <f t="shared" si="35"/>
        <v>3</v>
      </c>
      <c r="H32" s="59">
        <f t="shared" si="35"/>
        <v>4</v>
      </c>
      <c r="I32" s="59">
        <f t="shared" si="35"/>
        <v>5</v>
      </c>
      <c r="J32" s="59">
        <f t="shared" si="35"/>
        <v>6</v>
      </c>
      <c r="K32" s="59">
        <f t="shared" si="35"/>
        <v>7</v>
      </c>
      <c r="L32" s="59">
        <f t="shared" si="35"/>
        <v>8</v>
      </c>
      <c r="M32" s="59">
        <f t="shared" si="35"/>
        <v>9</v>
      </c>
      <c r="N32" s="59">
        <f t="shared" si="35"/>
        <v>10</v>
      </c>
      <c r="O32" s="27">
        <f t="shared" si="35"/>
        <v>11</v>
      </c>
      <c r="P32" s="24">
        <f aca="true" t="shared" si="36" ref="P32:AB32">O32+1</f>
        <v>12</v>
      </c>
      <c r="Q32" s="24">
        <f t="shared" si="36"/>
        <v>13</v>
      </c>
      <c r="R32" s="24">
        <f t="shared" si="36"/>
        <v>14</v>
      </c>
      <c r="S32" s="24">
        <f t="shared" si="36"/>
        <v>15</v>
      </c>
      <c r="T32" s="24">
        <f t="shared" si="36"/>
        <v>16</v>
      </c>
      <c r="U32" s="24">
        <f t="shared" si="36"/>
        <v>17</v>
      </c>
      <c r="V32" s="24">
        <f t="shared" si="36"/>
        <v>18</v>
      </c>
      <c r="W32" s="24">
        <f t="shared" si="36"/>
        <v>19</v>
      </c>
      <c r="X32" s="24">
        <f t="shared" si="36"/>
        <v>20</v>
      </c>
      <c r="Y32" s="24">
        <f t="shared" si="36"/>
        <v>21</v>
      </c>
      <c r="Z32" s="24">
        <f t="shared" si="36"/>
        <v>22</v>
      </c>
      <c r="AA32" s="24">
        <f t="shared" si="36"/>
        <v>23</v>
      </c>
      <c r="AB32" s="24">
        <f t="shared" si="36"/>
        <v>24</v>
      </c>
    </row>
    <row r="33" spans="1:28" s="7" customFormat="1" ht="10.5" hidden="1">
      <c r="A33" s="124">
        <v>22</v>
      </c>
      <c r="B33" s="151"/>
      <c r="C33" s="36" t="s">
        <v>24</v>
      </c>
      <c r="D33" s="86"/>
      <c r="E33" s="71">
        <f aca="true" t="shared" si="37" ref="E33:AB33">E30</f>
        <v>114.79999999999984</v>
      </c>
      <c r="F33" s="71">
        <f t="shared" si="37"/>
        <v>142.79999999999984</v>
      </c>
      <c r="G33" s="71">
        <f t="shared" si="37"/>
        <v>111.29999999999981</v>
      </c>
      <c r="H33" s="71">
        <f t="shared" si="37"/>
        <v>69.29999999999998</v>
      </c>
      <c r="I33" s="71">
        <f t="shared" si="37"/>
        <v>252</v>
      </c>
      <c r="J33" s="71">
        <f t="shared" si="37"/>
        <v>303.8</v>
      </c>
      <c r="K33" s="71">
        <f t="shared" si="37"/>
        <v>319.9</v>
      </c>
      <c r="L33" s="71">
        <f t="shared" si="37"/>
        <v>353.4440000000001</v>
      </c>
      <c r="M33" s="71">
        <f t="shared" si="37"/>
        <v>371.78287999999975</v>
      </c>
      <c r="N33" s="71">
        <f t="shared" si="37"/>
        <v>395.1925375999998</v>
      </c>
      <c r="O33" s="86">
        <f t="shared" si="37"/>
        <v>403.09638835199985</v>
      </c>
      <c r="P33" s="36">
        <f t="shared" si="37"/>
        <v>411.15831611903985</v>
      </c>
      <c r="Q33" s="36">
        <f t="shared" si="37"/>
        <v>419.3814824414206</v>
      </c>
      <c r="R33" s="36">
        <f t="shared" si="37"/>
        <v>427.7691120902491</v>
      </c>
      <c r="S33" s="36">
        <f t="shared" si="37"/>
        <v>436.3244943320542</v>
      </c>
      <c r="T33" s="36">
        <f t="shared" si="37"/>
        <v>445.050984218695</v>
      </c>
      <c r="U33" s="36">
        <f t="shared" si="37"/>
        <v>453.9520039030692</v>
      </c>
      <c r="V33" s="36">
        <f t="shared" si="37"/>
        <v>463.03104398113067</v>
      </c>
      <c r="W33" s="36">
        <f t="shared" si="37"/>
        <v>472.29166486075326</v>
      </c>
      <c r="X33" s="36">
        <f t="shared" si="37"/>
        <v>481.73749815796816</v>
      </c>
      <c r="Y33" s="36">
        <f t="shared" si="37"/>
        <v>491.37224812112765</v>
      </c>
      <c r="Z33" s="36">
        <f t="shared" si="37"/>
        <v>501.19969308354996</v>
      </c>
      <c r="AA33" s="36">
        <f t="shared" si="37"/>
        <v>511.22368694522106</v>
      </c>
      <c r="AB33" s="36">
        <f t="shared" si="37"/>
        <v>521.4481606841255</v>
      </c>
    </row>
    <row r="34" spans="1:28" ht="12" customHeight="1">
      <c r="A34" s="123">
        <v>23</v>
      </c>
      <c r="B34" s="146"/>
      <c r="C34" s="131" t="s">
        <v>26</v>
      </c>
      <c r="D34" s="147"/>
      <c r="E34" s="66">
        <f aca="true" t="shared" si="38" ref="E34:AB34">E25</f>
        <v>350</v>
      </c>
      <c r="F34" s="57">
        <f t="shared" si="38"/>
        <v>350</v>
      </c>
      <c r="G34" s="57">
        <f t="shared" si="38"/>
        <v>400</v>
      </c>
      <c r="H34" s="57">
        <f t="shared" si="38"/>
        <v>500</v>
      </c>
      <c r="I34" s="57">
        <f t="shared" si="38"/>
        <v>300</v>
      </c>
      <c r="J34" s="55">
        <f t="shared" si="38"/>
        <v>280</v>
      </c>
      <c r="K34" s="55">
        <f t="shared" si="38"/>
        <v>304</v>
      </c>
      <c r="L34" s="63">
        <f t="shared" si="38"/>
        <v>310.08</v>
      </c>
      <c r="M34" s="63">
        <f t="shared" si="38"/>
        <v>316.28159999999997</v>
      </c>
      <c r="N34" s="63">
        <f t="shared" si="38"/>
        <v>322.60723199999995</v>
      </c>
      <c r="O34" s="32">
        <f t="shared" si="38"/>
        <v>329.05937664</v>
      </c>
      <c r="P34" s="4">
        <f t="shared" si="38"/>
        <v>335.6405641728</v>
      </c>
      <c r="Q34" s="4">
        <f t="shared" si="38"/>
        <v>342.353375456256</v>
      </c>
      <c r="R34" s="4">
        <f t="shared" si="38"/>
        <v>349.2004429653811</v>
      </c>
      <c r="S34" s="4">
        <f t="shared" si="38"/>
        <v>356.1844518246887</v>
      </c>
      <c r="T34" s="4">
        <f t="shared" si="38"/>
        <v>363.3081408611825</v>
      </c>
      <c r="U34" s="4">
        <f t="shared" si="38"/>
        <v>370.5743036784061</v>
      </c>
      <c r="V34" s="4">
        <f t="shared" si="38"/>
        <v>377.98578975197427</v>
      </c>
      <c r="W34" s="4">
        <f t="shared" si="38"/>
        <v>385.54550554701376</v>
      </c>
      <c r="X34" s="4">
        <f t="shared" si="38"/>
        <v>393.25641565795405</v>
      </c>
      <c r="Y34" s="4">
        <f t="shared" si="38"/>
        <v>401.1215439711131</v>
      </c>
      <c r="Z34" s="4">
        <f t="shared" si="38"/>
        <v>409.14397485053536</v>
      </c>
      <c r="AA34" s="4">
        <f t="shared" si="38"/>
        <v>417.3268543475461</v>
      </c>
      <c r="AB34" s="4">
        <f t="shared" si="38"/>
        <v>425.67339143449703</v>
      </c>
    </row>
    <row r="35" spans="1:28" ht="12" customHeight="1">
      <c r="A35" s="123">
        <v>24</v>
      </c>
      <c r="B35" s="146"/>
      <c r="C35" s="131" t="s">
        <v>27</v>
      </c>
      <c r="D35" s="147"/>
      <c r="E35" s="57">
        <f>E14-D14</f>
        <v>0</v>
      </c>
      <c r="F35" s="57">
        <f aca="true" t="shared" si="39" ref="F35:AB35">F14-E14</f>
        <v>500</v>
      </c>
      <c r="G35" s="57">
        <f t="shared" si="39"/>
        <v>0</v>
      </c>
      <c r="H35" s="57">
        <f t="shared" si="39"/>
        <v>-300</v>
      </c>
      <c r="I35" s="57">
        <f t="shared" si="39"/>
        <v>-200</v>
      </c>
      <c r="J35" s="57">
        <f t="shared" si="39"/>
        <v>-100</v>
      </c>
      <c r="K35" s="57">
        <f t="shared" si="39"/>
        <v>-200</v>
      </c>
      <c r="L35" s="57">
        <f t="shared" si="39"/>
        <v>-200</v>
      </c>
      <c r="M35" s="57">
        <f t="shared" si="39"/>
        <v>-300</v>
      </c>
      <c r="N35" s="57">
        <f t="shared" si="39"/>
        <v>20</v>
      </c>
      <c r="O35" s="57">
        <f t="shared" si="39"/>
        <v>20.40000000000009</v>
      </c>
      <c r="P35" s="57">
        <f t="shared" si="39"/>
        <v>20.807999999999993</v>
      </c>
      <c r="Q35" s="57">
        <f t="shared" si="39"/>
        <v>21.224159999999983</v>
      </c>
      <c r="R35" s="57">
        <f t="shared" si="39"/>
        <v>21.648643199999924</v>
      </c>
      <c r="S35" s="57">
        <f t="shared" si="39"/>
        <v>22.081616063999945</v>
      </c>
      <c r="T35" s="57">
        <f t="shared" si="39"/>
        <v>22.523248385280112</v>
      </c>
      <c r="U35" s="57">
        <f t="shared" si="39"/>
        <v>22.97371335298567</v>
      </c>
      <c r="V35" s="57">
        <f t="shared" si="39"/>
        <v>23.433187620045373</v>
      </c>
      <c r="W35" s="57">
        <f t="shared" si="39"/>
        <v>23.901851372446345</v>
      </c>
      <c r="X35" s="57">
        <f t="shared" si="39"/>
        <v>24.379888399895208</v>
      </c>
      <c r="Y35" s="57">
        <f t="shared" si="39"/>
        <v>24.86748616789305</v>
      </c>
      <c r="Z35" s="57">
        <f t="shared" si="39"/>
        <v>25.364835891251005</v>
      </c>
      <c r="AA35" s="57">
        <f t="shared" si="39"/>
        <v>25.87213260907606</v>
      </c>
      <c r="AB35" s="57">
        <f t="shared" si="39"/>
        <v>26.389575261257505</v>
      </c>
    </row>
    <row r="36" spans="1:28" ht="12" customHeight="1">
      <c r="A36" s="123">
        <v>25</v>
      </c>
      <c r="B36" s="146"/>
      <c r="C36" s="131" t="s">
        <v>28</v>
      </c>
      <c r="D36" s="147"/>
      <c r="E36" s="66">
        <f aca="true" t="shared" si="40" ref="E36:N36">D18-E18</f>
        <v>-66</v>
      </c>
      <c r="F36" s="66">
        <f t="shared" si="40"/>
        <v>-67</v>
      </c>
      <c r="G36" s="66">
        <f t="shared" si="40"/>
        <v>-67</v>
      </c>
      <c r="H36" s="66">
        <f t="shared" si="40"/>
        <v>-66</v>
      </c>
      <c r="I36" s="66">
        <f t="shared" si="40"/>
        <v>-67</v>
      </c>
      <c r="J36" s="66">
        <f t="shared" si="40"/>
        <v>-67</v>
      </c>
      <c r="K36" s="66">
        <f t="shared" si="40"/>
        <v>-66</v>
      </c>
      <c r="L36" s="66">
        <f t="shared" si="40"/>
        <v>-67</v>
      </c>
      <c r="M36" s="66">
        <f t="shared" si="40"/>
        <v>-30.600000000000136</v>
      </c>
      <c r="N36" s="68">
        <f t="shared" si="40"/>
        <v>-31.271999999999935</v>
      </c>
      <c r="O36" s="28">
        <f aca="true" t="shared" si="41" ref="O36:AB36">N18-O18</f>
        <v>-31.89743999999996</v>
      </c>
      <c r="P36" s="2">
        <f t="shared" si="41"/>
        <v>-32.535388799999964</v>
      </c>
      <c r="Q36" s="5">
        <f t="shared" si="41"/>
        <v>-33.18609657600018</v>
      </c>
      <c r="R36" s="5">
        <f t="shared" si="41"/>
        <v>-33.849818507519785</v>
      </c>
      <c r="S36" s="5">
        <f t="shared" si="41"/>
        <v>-34.526814877670176</v>
      </c>
      <c r="T36" s="5">
        <f t="shared" si="41"/>
        <v>-35.21735117522394</v>
      </c>
      <c r="U36" s="5">
        <f t="shared" si="41"/>
        <v>-35.92169819872856</v>
      </c>
      <c r="V36" s="5">
        <f t="shared" si="41"/>
        <v>-36.64013216270314</v>
      </c>
      <c r="W36" s="5">
        <f t="shared" si="41"/>
        <v>-37.372934805956675</v>
      </c>
      <c r="X36" s="5">
        <f t="shared" si="41"/>
        <v>-38.12039350207624</v>
      </c>
      <c r="Y36" s="5">
        <f t="shared" si="41"/>
        <v>-38.88280137211768</v>
      </c>
      <c r="Z36" s="5">
        <f t="shared" si="41"/>
        <v>-39.66045739955939</v>
      </c>
      <c r="AA36" s="5">
        <f t="shared" si="41"/>
        <v>-40.45366654755139</v>
      </c>
      <c r="AB36" s="5">
        <f t="shared" si="41"/>
        <v>-41.26273987850209</v>
      </c>
    </row>
    <row r="37" spans="1:28" ht="12" customHeight="1">
      <c r="A37" s="123">
        <v>26</v>
      </c>
      <c r="B37" s="146"/>
      <c r="C37" s="131" t="s">
        <v>29</v>
      </c>
      <c r="D37" s="147"/>
      <c r="E37" s="66">
        <f aca="true" t="shared" si="42" ref="E37:N37">D8-E8</f>
        <v>-300</v>
      </c>
      <c r="F37" s="57">
        <f t="shared" si="42"/>
        <v>-900</v>
      </c>
      <c r="G37" s="57">
        <f t="shared" si="42"/>
        <v>-400</v>
      </c>
      <c r="H37" s="57">
        <f t="shared" si="42"/>
        <v>-200</v>
      </c>
      <c r="I37" s="57">
        <f t="shared" si="42"/>
        <v>-200</v>
      </c>
      <c r="J37" s="55">
        <f t="shared" si="42"/>
        <v>-400</v>
      </c>
      <c r="K37" s="55">
        <f t="shared" si="42"/>
        <v>-304</v>
      </c>
      <c r="L37" s="63">
        <f t="shared" si="42"/>
        <v>-310.0799999999999</v>
      </c>
      <c r="M37" s="63">
        <f t="shared" si="42"/>
        <v>-316.28160000000025</v>
      </c>
      <c r="N37" s="63">
        <f t="shared" si="42"/>
        <v>-322.6072319999985</v>
      </c>
      <c r="O37" s="32">
        <f aca="true" t="shared" si="43" ref="O37:AB37">N8-O8</f>
        <v>-329.05937664000066</v>
      </c>
      <c r="P37" s="4">
        <f t="shared" si="43"/>
        <v>-335.6405641727997</v>
      </c>
      <c r="Q37" s="4">
        <f t="shared" si="43"/>
        <v>-342.3533754562559</v>
      </c>
      <c r="R37" s="4">
        <f t="shared" si="43"/>
        <v>-349.2004429653807</v>
      </c>
      <c r="S37" s="4">
        <f t="shared" si="43"/>
        <v>-356.18445182468895</v>
      </c>
      <c r="T37" s="4">
        <f t="shared" si="43"/>
        <v>-363.3081408611815</v>
      </c>
      <c r="U37" s="4">
        <f t="shared" si="43"/>
        <v>-370.57430367840516</v>
      </c>
      <c r="V37" s="4">
        <f t="shared" si="43"/>
        <v>-377.98578975197415</v>
      </c>
      <c r="W37" s="4">
        <f t="shared" si="43"/>
        <v>-385.5455055470138</v>
      </c>
      <c r="X37" s="4">
        <f t="shared" si="43"/>
        <v>-393.25641565795377</v>
      </c>
      <c r="Y37" s="4">
        <f t="shared" si="43"/>
        <v>-401.1215439711141</v>
      </c>
      <c r="Z37" s="4">
        <f t="shared" si="43"/>
        <v>-409.1439748505345</v>
      </c>
      <c r="AA37" s="4">
        <f t="shared" si="43"/>
        <v>-417.32685434754785</v>
      </c>
      <c r="AB37" s="4">
        <f t="shared" si="43"/>
        <v>-425.6733914344986</v>
      </c>
    </row>
    <row r="38" spans="1:28" ht="12" customHeight="1">
      <c r="A38" s="124">
        <v>27</v>
      </c>
      <c r="B38" s="148"/>
      <c r="C38" s="36" t="s">
        <v>69</v>
      </c>
      <c r="D38" s="149"/>
      <c r="E38" s="175">
        <f aca="true" t="shared" si="44" ref="E38:N38">E30+E34+E37+E35+E36</f>
        <v>98.79999999999984</v>
      </c>
      <c r="F38" s="175">
        <f t="shared" si="44"/>
        <v>25.79999999999984</v>
      </c>
      <c r="G38" s="175">
        <f t="shared" si="44"/>
        <v>44.29999999999984</v>
      </c>
      <c r="H38" s="175">
        <f t="shared" si="44"/>
        <v>3.2999999999999545</v>
      </c>
      <c r="I38" s="175">
        <f t="shared" si="44"/>
        <v>85</v>
      </c>
      <c r="J38" s="175">
        <f t="shared" si="44"/>
        <v>16.799999999999955</v>
      </c>
      <c r="K38" s="175">
        <f t="shared" si="44"/>
        <v>53.89999999999998</v>
      </c>
      <c r="L38" s="175">
        <f t="shared" si="44"/>
        <v>86.44400000000019</v>
      </c>
      <c r="M38" s="175">
        <f t="shared" si="44"/>
        <v>41.182879999999386</v>
      </c>
      <c r="N38" s="175">
        <f t="shared" si="44"/>
        <v>383.92053760000135</v>
      </c>
      <c r="O38" s="176">
        <f aca="true" t="shared" si="45" ref="O38:AB38">O30+O34+O37+O35+O36</f>
        <v>391.5989483519993</v>
      </c>
      <c r="P38" s="47">
        <f t="shared" si="45"/>
        <v>399.43092731904017</v>
      </c>
      <c r="Q38" s="47">
        <f t="shared" si="45"/>
        <v>407.41954586542056</v>
      </c>
      <c r="R38" s="47">
        <f t="shared" si="45"/>
        <v>415.5679367827297</v>
      </c>
      <c r="S38" s="47">
        <f t="shared" si="45"/>
        <v>423.87929551838374</v>
      </c>
      <c r="T38" s="47">
        <f t="shared" si="45"/>
        <v>432.3568814287521</v>
      </c>
      <c r="U38" s="47">
        <f t="shared" si="45"/>
        <v>441.00401905732724</v>
      </c>
      <c r="V38" s="47">
        <f t="shared" si="45"/>
        <v>449.824099438473</v>
      </c>
      <c r="W38" s="47">
        <f t="shared" si="45"/>
        <v>458.8205814272428</v>
      </c>
      <c r="X38" s="47">
        <f t="shared" si="45"/>
        <v>467.99699305578747</v>
      </c>
      <c r="Y38" s="47">
        <f t="shared" si="45"/>
        <v>477.356932916902</v>
      </c>
      <c r="Z38" s="47">
        <f t="shared" si="45"/>
        <v>486.90407157524237</v>
      </c>
      <c r="AA38" s="47">
        <f t="shared" si="45"/>
        <v>496.6421530067439</v>
      </c>
      <c r="AB38" s="47">
        <f t="shared" si="45"/>
        <v>506.5749960668793</v>
      </c>
    </row>
    <row r="39" spans="1:28" ht="12" customHeight="1">
      <c r="A39" s="124">
        <v>28</v>
      </c>
      <c r="B39" s="148"/>
      <c r="C39" s="36" t="s">
        <v>30</v>
      </c>
      <c r="D39" s="149"/>
      <c r="E39" s="175">
        <f>E38+E27-E35</f>
        <v>224.79999999999984</v>
      </c>
      <c r="F39" s="175">
        <f aca="true" t="shared" si="46" ref="F39:U39">F38+F27-F35</f>
        <v>-348.20000000000016</v>
      </c>
      <c r="G39" s="175">
        <f t="shared" si="46"/>
        <v>205.29999999999987</v>
      </c>
      <c r="H39" s="175">
        <f t="shared" si="46"/>
        <v>464.29999999999995</v>
      </c>
      <c r="I39" s="175">
        <f t="shared" si="46"/>
        <v>425</v>
      </c>
      <c r="J39" s="175">
        <f t="shared" si="46"/>
        <v>242.79999999999995</v>
      </c>
      <c r="K39" s="175">
        <f t="shared" si="46"/>
        <v>372.9</v>
      </c>
      <c r="L39" s="175">
        <f t="shared" si="46"/>
        <v>391.4440000000002</v>
      </c>
      <c r="M39" s="175">
        <f t="shared" si="46"/>
        <v>432.1828799999994</v>
      </c>
      <c r="N39" s="175">
        <f t="shared" si="46"/>
        <v>433.92053760000135</v>
      </c>
      <c r="O39" s="176">
        <f t="shared" si="46"/>
        <v>442.5989483519992</v>
      </c>
      <c r="P39" s="35">
        <f t="shared" si="46"/>
        <v>451.4509273190402</v>
      </c>
      <c r="Q39" s="35">
        <f t="shared" si="46"/>
        <v>460.4799458654206</v>
      </c>
      <c r="R39" s="35">
        <f t="shared" si="46"/>
        <v>469.6895447827298</v>
      </c>
      <c r="S39" s="35">
        <f t="shared" si="46"/>
        <v>479.08333567838383</v>
      </c>
      <c r="T39" s="35">
        <f t="shared" si="46"/>
        <v>488.665002391952</v>
      </c>
      <c r="U39" s="35">
        <f t="shared" si="46"/>
        <v>498.4383024397912</v>
      </c>
      <c r="V39" s="47"/>
      <c r="W39" s="47"/>
      <c r="X39" s="47"/>
      <c r="Y39" s="47"/>
      <c r="Z39" s="47"/>
      <c r="AA39" s="47"/>
      <c r="AB39" s="47"/>
    </row>
    <row r="40" spans="1:28" s="7" customFormat="1" ht="12" customHeight="1">
      <c r="A40" s="124">
        <v>29</v>
      </c>
      <c r="B40" s="151"/>
      <c r="C40" s="36" t="s">
        <v>31</v>
      </c>
      <c r="D40" s="86"/>
      <c r="E40" s="175">
        <f>E38+E27*(1-$D1)-E35</f>
        <v>186.99999999999983</v>
      </c>
      <c r="F40" s="175">
        <f>F38+F27*(1-$D1)-F35</f>
        <v>-386.00000000000017</v>
      </c>
      <c r="G40" s="175">
        <f>G38+G27*(1-$D1)-G35</f>
        <v>156.99999999999986</v>
      </c>
      <c r="H40" s="175">
        <f>H38+H27*(1-$D1)-H35</f>
        <v>416</v>
      </c>
      <c r="I40" s="175">
        <f>I38+I27*(1-$D1)-I35</f>
        <v>383</v>
      </c>
      <c r="J40" s="175">
        <f>J38+J27*(1-$D1)-J35</f>
        <v>204.99999999999994</v>
      </c>
      <c r="K40" s="175">
        <f>K38+K27*(1-$D1)-K35</f>
        <v>337.2</v>
      </c>
      <c r="L40" s="175">
        <f>L38+L27*(1-$D1)-L35</f>
        <v>359.9440000000002</v>
      </c>
      <c r="M40" s="175">
        <f>M38+M27*(1-$D1)-M35</f>
        <v>404.8828799999994</v>
      </c>
      <c r="N40" s="175">
        <f>N38+N27*(1-$D1)-N35</f>
        <v>412.92053760000135</v>
      </c>
      <c r="O40" s="176">
        <f>O38+O27*(1-$D1)-O35</f>
        <v>421.1789483519992</v>
      </c>
      <c r="P40" s="47">
        <f>P38+P27*(1-$D1)-P35</f>
        <v>429.6025273190402</v>
      </c>
      <c r="Q40" s="47">
        <f>Q38+Q27*(1-$D1)-Q35</f>
        <v>438.19457786542057</v>
      </c>
      <c r="R40" s="47">
        <f>R38+R27*(1-$D1)-R35</f>
        <v>446.95846942272976</v>
      </c>
      <c r="S40" s="47">
        <f>S38+S27*(1-$D1)-S35</f>
        <v>455.8976388111838</v>
      </c>
      <c r="T40" s="47">
        <f>T38+T27*(1-$D1)-T35</f>
        <v>465.015591587408</v>
      </c>
      <c r="U40" s="47">
        <f>U38+U27*(1-$D1)-U35</f>
        <v>474.3159034191563</v>
      </c>
      <c r="V40" s="47">
        <f>V38+V27*(1-$D1)-V35</f>
        <v>483.80222148753865</v>
      </c>
      <c r="W40" s="47">
        <f>W38+W27*(1-$D1)-W35</f>
        <v>493.4782659172897</v>
      </c>
      <c r="X40" s="47">
        <f>X38+X27*(1-$D1)-X35</f>
        <v>503.34783123563534</v>
      </c>
      <c r="Y40" s="47">
        <f>Y38+Y27*(1-$D1)-Y35</f>
        <v>513.4147878603469</v>
      </c>
      <c r="Z40" s="47">
        <f>Z38+Z27*(1-$D1)-Z35</f>
        <v>523.6830836175561</v>
      </c>
      <c r="AA40" s="47">
        <f>AA38+AA27*(1-$D1)-AA35</f>
        <v>534.1567452899039</v>
      </c>
      <c r="AB40" s="47">
        <f>AB38+AB27*(1-$D1)-AB35</f>
        <v>544.8398801957026</v>
      </c>
    </row>
    <row r="41" spans="1:28" ht="12" customHeight="1">
      <c r="A41" s="122">
        <v>30</v>
      </c>
      <c r="B41" s="154"/>
      <c r="C41" s="155" t="s">
        <v>32</v>
      </c>
      <c r="D41" s="156"/>
      <c r="E41" s="157"/>
      <c r="F41" s="158">
        <f aca="true" t="shared" si="47" ref="F41:O41">F38/E38-1</f>
        <v>-0.7388663967611349</v>
      </c>
      <c r="G41" s="158">
        <f t="shared" si="47"/>
        <v>0.7170542635658959</v>
      </c>
      <c r="H41" s="158">
        <f t="shared" si="47"/>
        <v>-0.9255079006772017</v>
      </c>
      <c r="I41" s="158">
        <f t="shared" si="47"/>
        <v>24.757575757576113</v>
      </c>
      <c r="J41" s="158">
        <f t="shared" si="47"/>
        <v>-0.8023529411764712</v>
      </c>
      <c r="K41" s="158">
        <f t="shared" si="47"/>
        <v>2.2083333333333406</v>
      </c>
      <c r="L41" s="158">
        <f t="shared" si="47"/>
        <v>0.6037847866419337</v>
      </c>
      <c r="M41" s="158">
        <f t="shared" si="47"/>
        <v>-0.5235889130535456</v>
      </c>
      <c r="N41" s="158">
        <f t="shared" si="47"/>
        <v>8.322333396790293</v>
      </c>
      <c r="O41" s="158">
        <f t="shared" si="47"/>
        <v>0.019999999999994467</v>
      </c>
      <c r="P41" s="159">
        <f aca="true" t="shared" si="48" ref="P41:AB41">P38/O38-1</f>
        <v>0.020000000000002238</v>
      </c>
      <c r="Q41" s="83">
        <f t="shared" si="48"/>
        <v>0.019999999999998908</v>
      </c>
      <c r="R41" s="9">
        <f t="shared" si="48"/>
        <v>0.020000000000001794</v>
      </c>
      <c r="S41" s="9">
        <f t="shared" si="48"/>
        <v>0.019999999999998685</v>
      </c>
      <c r="T41" s="9">
        <f t="shared" si="48"/>
        <v>0.020000000000001572</v>
      </c>
      <c r="U41" s="9">
        <f t="shared" si="48"/>
        <v>0.02000000000000024</v>
      </c>
      <c r="V41" s="9">
        <f t="shared" si="48"/>
        <v>0.01999999999999824</v>
      </c>
      <c r="W41" s="9">
        <f t="shared" si="48"/>
        <v>0.020000000000000684</v>
      </c>
      <c r="X41" s="9">
        <f t="shared" si="48"/>
        <v>0.019999999999999574</v>
      </c>
      <c r="Y41" s="9">
        <f t="shared" si="48"/>
        <v>0.019999999999997353</v>
      </c>
      <c r="Z41" s="9">
        <f t="shared" si="48"/>
        <v>0.020000000000004903</v>
      </c>
      <c r="AA41" s="9">
        <f t="shared" si="48"/>
        <v>0.019999999999993134</v>
      </c>
      <c r="AB41" s="9">
        <f t="shared" si="48"/>
        <v>0.020000000000000906</v>
      </c>
    </row>
    <row r="42" spans="1:28" s="39" customFormat="1" ht="12" customHeight="1">
      <c r="A42" s="124">
        <v>31</v>
      </c>
      <c r="B42" s="148"/>
      <c r="C42" s="81" t="s">
        <v>33</v>
      </c>
      <c r="D42" s="152"/>
      <c r="E42" s="88"/>
      <c r="F42" s="89">
        <f aca="true" t="shared" si="49" ref="F42:O42">F40/E40-1</f>
        <v>-3.0641711229946553</v>
      </c>
      <c r="G42" s="89">
        <f t="shared" si="49"/>
        <v>-1.4067357512953362</v>
      </c>
      <c r="H42" s="89">
        <f t="shared" si="49"/>
        <v>1.649681528662423</v>
      </c>
      <c r="I42" s="89">
        <f t="shared" si="49"/>
        <v>-0.07932692307692313</v>
      </c>
      <c r="J42" s="89">
        <f t="shared" si="49"/>
        <v>-0.4647519582245432</v>
      </c>
      <c r="K42" s="89">
        <f t="shared" si="49"/>
        <v>0.6448780487804882</v>
      </c>
      <c r="L42" s="89">
        <f t="shared" si="49"/>
        <v>0.06744958481613339</v>
      </c>
      <c r="M42" s="89">
        <f t="shared" si="49"/>
        <v>0.12484964327784098</v>
      </c>
      <c r="N42" s="89">
        <f t="shared" si="49"/>
        <v>0.01985180899721417</v>
      </c>
      <c r="O42" s="89">
        <f t="shared" si="49"/>
        <v>0.01999999999999469</v>
      </c>
      <c r="P42" s="160">
        <f aca="true" t="shared" si="50" ref="P42:AB42">P40/O40-1</f>
        <v>0.020000000000002238</v>
      </c>
      <c r="Q42" s="84">
        <f t="shared" si="50"/>
        <v>0.01999999999999913</v>
      </c>
      <c r="R42" s="82">
        <f t="shared" si="50"/>
        <v>0.020000000000001794</v>
      </c>
      <c r="S42" s="82">
        <f t="shared" si="50"/>
        <v>0.019999999999998685</v>
      </c>
      <c r="T42" s="82">
        <f t="shared" si="50"/>
        <v>0.020000000000001128</v>
      </c>
      <c r="U42" s="82">
        <f t="shared" si="50"/>
        <v>0.020000000000000462</v>
      </c>
      <c r="V42" s="82">
        <f t="shared" si="50"/>
        <v>0.01999999999999824</v>
      </c>
      <c r="W42" s="82">
        <f t="shared" si="50"/>
        <v>0.020000000000000684</v>
      </c>
      <c r="X42" s="82">
        <f t="shared" si="50"/>
        <v>0.019999999999999574</v>
      </c>
      <c r="Y42" s="82">
        <f t="shared" si="50"/>
        <v>0.019999999999997797</v>
      </c>
      <c r="Z42" s="82">
        <f t="shared" si="50"/>
        <v>0.02000000000000446</v>
      </c>
      <c r="AA42" s="82">
        <f t="shared" si="50"/>
        <v>0.01999999999999358</v>
      </c>
      <c r="AB42" s="82">
        <f t="shared" si="50"/>
        <v>0.020000000000001128</v>
      </c>
    </row>
    <row r="43" spans="1:28" ht="10.5" hidden="1">
      <c r="A43" s="19"/>
      <c r="C43" s="6"/>
      <c r="D43" s="6"/>
      <c r="E43" s="9"/>
      <c r="F43" s="9"/>
      <c r="G43" s="9"/>
      <c r="H43" s="9"/>
      <c r="I43" s="9"/>
      <c r="J43" s="9"/>
      <c r="K43" s="9"/>
      <c r="L43" s="9"/>
      <c r="M43" s="1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0.5" hidden="1">
      <c r="A44" s="19">
        <v>31</v>
      </c>
      <c r="C44" s="6" t="s">
        <v>34</v>
      </c>
      <c r="D44" s="6"/>
      <c r="E44" s="9">
        <f aca="true" t="shared" si="51" ref="E44:N44">E29/E40</f>
        <v>0.2631016042780747</v>
      </c>
      <c r="F44" s="9">
        <f t="shared" si="51"/>
        <v>-0.15854922279792721</v>
      </c>
      <c r="G44" s="9">
        <f t="shared" si="51"/>
        <v>0.30382165605095524</v>
      </c>
      <c r="H44" s="9">
        <f t="shared" si="51"/>
        <v>0.07139423076923074</v>
      </c>
      <c r="I44" s="9">
        <f t="shared" si="51"/>
        <v>0.2819843342036554</v>
      </c>
      <c r="J44" s="9">
        <f t="shared" si="51"/>
        <v>0.6351219512195123</v>
      </c>
      <c r="K44" s="9">
        <f t="shared" si="51"/>
        <v>0.40658362989323843</v>
      </c>
      <c r="L44" s="9">
        <f t="shared" si="51"/>
        <v>0.42083212944235754</v>
      </c>
      <c r="M44" s="14">
        <f t="shared" si="51"/>
        <v>0.39353484148304846</v>
      </c>
      <c r="N44" s="9">
        <f t="shared" si="51"/>
        <v>0.4101714857401158</v>
      </c>
      <c r="O44" s="9">
        <f aca="true" t="shared" si="52" ref="O44:AB44">O29/O40</f>
        <v>0.4101714857401179</v>
      </c>
      <c r="P44" s="9">
        <f t="shared" si="52"/>
        <v>0.410171485740117</v>
      </c>
      <c r="Q44" s="9">
        <f t="shared" si="52"/>
        <v>0.41017148574011736</v>
      </c>
      <c r="R44" s="9">
        <f t="shared" si="52"/>
        <v>0.41017148574011675</v>
      </c>
      <c r="S44" s="9">
        <f t="shared" si="52"/>
        <v>0.4101714857401173</v>
      </c>
      <c r="T44" s="9">
        <f t="shared" si="52"/>
        <v>0.41017148574011675</v>
      </c>
      <c r="U44" s="9">
        <f t="shared" si="52"/>
        <v>0.41017148574011675</v>
      </c>
      <c r="V44" s="9">
        <f t="shared" si="52"/>
        <v>0.41017148574011747</v>
      </c>
      <c r="W44" s="9">
        <f t="shared" si="52"/>
        <v>0.41017148574011725</v>
      </c>
      <c r="X44" s="9">
        <f t="shared" si="52"/>
        <v>0.4101714857401172</v>
      </c>
      <c r="Y44" s="9">
        <f t="shared" si="52"/>
        <v>0.4101714857401183</v>
      </c>
      <c r="Z44" s="9">
        <f t="shared" si="52"/>
        <v>0.41017148574011625</v>
      </c>
      <c r="AA44" s="9">
        <f t="shared" si="52"/>
        <v>0.4101714857401189</v>
      </c>
      <c r="AB44" s="9">
        <f t="shared" si="52"/>
        <v>0.4101714857401185</v>
      </c>
    </row>
    <row r="45" spans="1:28" ht="10.5" hidden="1">
      <c r="A45" s="19">
        <v>32</v>
      </c>
      <c r="C45" s="6" t="s">
        <v>35</v>
      </c>
      <c r="D45" s="6"/>
      <c r="E45" s="9">
        <f aca="true" t="shared" si="53" ref="E45:N45">E29/E38</f>
        <v>0.4979757085020244</v>
      </c>
      <c r="F45" s="9">
        <f t="shared" si="53"/>
        <v>2.372093023255826</v>
      </c>
      <c r="G45" s="9">
        <f t="shared" si="53"/>
        <v>1.0767494356659164</v>
      </c>
      <c r="H45" s="9">
        <f t="shared" si="53"/>
        <v>9.00000000000012</v>
      </c>
      <c r="I45" s="9">
        <f t="shared" si="53"/>
        <v>1.2705882352941176</v>
      </c>
      <c r="J45" s="9">
        <f t="shared" si="53"/>
        <v>7.75000000000002</v>
      </c>
      <c r="K45" s="9">
        <f t="shared" si="53"/>
        <v>2.5435992578849733</v>
      </c>
      <c r="L45" s="9">
        <f t="shared" si="53"/>
        <v>1.7523020683910937</v>
      </c>
      <c r="M45" s="14">
        <f t="shared" si="53"/>
        <v>3.8689746807411787</v>
      </c>
      <c r="N45" s="9">
        <f t="shared" si="53"/>
        <v>0.4411543895483421</v>
      </c>
      <c r="O45" s="9">
        <f aca="true" t="shared" si="54" ref="O45:AB45">O29/O38</f>
        <v>0.44115438954834446</v>
      </c>
      <c r="P45" s="9">
        <f t="shared" si="54"/>
        <v>0.44115438954834346</v>
      </c>
      <c r="Q45" s="9">
        <f t="shared" si="54"/>
        <v>0.4411543895483439</v>
      </c>
      <c r="R45" s="9">
        <f t="shared" si="54"/>
        <v>0.44115438954834324</v>
      </c>
      <c r="S45" s="9">
        <f t="shared" si="54"/>
        <v>0.4411543895483439</v>
      </c>
      <c r="T45" s="9">
        <f t="shared" si="54"/>
        <v>0.441154389548343</v>
      </c>
      <c r="U45" s="9">
        <f t="shared" si="54"/>
        <v>0.4411543895483431</v>
      </c>
      <c r="V45" s="9">
        <f t="shared" si="54"/>
        <v>0.44115438954834396</v>
      </c>
      <c r="W45" s="9">
        <f t="shared" si="54"/>
        <v>0.44115438954834363</v>
      </c>
      <c r="X45" s="9">
        <f t="shared" si="54"/>
        <v>0.4411543895483436</v>
      </c>
      <c r="Y45" s="9">
        <f t="shared" si="54"/>
        <v>0.44115438954834496</v>
      </c>
      <c r="Z45" s="9">
        <f t="shared" si="54"/>
        <v>0.4411543895483426</v>
      </c>
      <c r="AA45" s="9">
        <f t="shared" si="54"/>
        <v>0.44115438954834557</v>
      </c>
      <c r="AB45" s="9">
        <f t="shared" si="54"/>
        <v>0.4411543895483452</v>
      </c>
    </row>
    <row r="46" spans="1:28" ht="10.5" hidden="1">
      <c r="A46" s="19"/>
      <c r="C46" s="6"/>
      <c r="D46" s="6"/>
      <c r="E46" s="9"/>
      <c r="F46" s="9"/>
      <c r="G46" s="9"/>
      <c r="H46" s="9"/>
      <c r="I46" s="9"/>
      <c r="J46" s="9"/>
      <c r="K46" s="9"/>
      <c r="L46" s="9"/>
      <c r="M46" s="1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0.5" hidden="1">
      <c r="A47" s="19">
        <v>33</v>
      </c>
      <c r="C47" s="6" t="s">
        <v>36</v>
      </c>
      <c r="D47" s="37">
        <f>D83/D15</f>
        <v>4.805414090884077</v>
      </c>
      <c r="E47" s="37">
        <f>E83/E15</f>
        <v>4.945012922633477</v>
      </c>
      <c r="F47" s="37">
        <f>F83/F15</f>
        <v>4.404203341039119</v>
      </c>
      <c r="G47" s="37">
        <f>G83/G15</f>
        <v>4.331239460645219</v>
      </c>
      <c r="H47" s="37">
        <f>H83/H15</f>
        <v>4.360800770211694</v>
      </c>
      <c r="I47" s="37">
        <f>I83/I15</f>
        <v>3.852420474574992</v>
      </c>
      <c r="J47" s="37">
        <f>J83/J15</f>
        <v>3.2284090618350905</v>
      </c>
      <c r="K47" s="37">
        <f>K83/K15</f>
        <v>2.87841856018803</v>
      </c>
      <c r="L47" s="37">
        <f>L83/L15</f>
        <v>2.6314309584597777</v>
      </c>
      <c r="M47" s="29">
        <f>M83/M15</f>
        <v>2.4104676325305983</v>
      </c>
      <c r="N47" s="37">
        <f>N83/N15</f>
        <v>2.445447438470496</v>
      </c>
      <c r="O47" s="37">
        <f>O83/O15</f>
        <v>2.4807411531996246</v>
      </c>
      <c r="P47" s="37">
        <f>P83/P15</f>
        <v>2.5163460084790596</v>
      </c>
      <c r="Q47" s="37">
        <f>Q83/Q15</f>
        <v>2.552259063978381</v>
      </c>
      <c r="R47" s="37">
        <f>R83/R15</f>
        <v>1.3318864587631303</v>
      </c>
      <c r="S47" s="37">
        <f>S83/S15</f>
        <v>1.255177481234995</v>
      </c>
      <c r="T47" s="37">
        <f>T83/T15</f>
        <v>1.1686856807724626</v>
      </c>
      <c r="U47" s="37">
        <f>U83/U15</f>
        <v>1.0715219951793777</v>
      </c>
      <c r="V47" s="37">
        <f>V83/V15</f>
        <v>0.9627205970982544</v>
      </c>
      <c r="W47" s="37">
        <f>W83/W15</f>
        <v>0.8412323791685443</v>
      </c>
      <c r="X47" s="37">
        <f>X83/X15</f>
        <v>0.7059178951536291</v>
      </c>
      <c r="Y47" s="37">
        <f>Y83/Y15</f>
        <v>0.555539712428393</v>
      </c>
      <c r="Z47" s="37">
        <f>Z83/Z15</f>
        <v>0.38875412763041595</v>
      </c>
      <c r="AA47" s="37">
        <f>AA83/AA15</f>
        <v>0.20410219340547445</v>
      </c>
      <c r="AB47" s="37">
        <f>AB83/AB15</f>
        <v>0</v>
      </c>
    </row>
    <row r="48" spans="1:28" ht="10.5" hidden="1">
      <c r="A48" s="19">
        <v>34</v>
      </c>
      <c r="C48" s="6" t="s">
        <v>37</v>
      </c>
      <c r="D48" s="37">
        <f>D83/E30</f>
        <v>20.92950388015716</v>
      </c>
      <c r="E48" s="37">
        <f>E83/F30</f>
        <v>17.868534090188216</v>
      </c>
      <c r="F48" s="37">
        <f>F83/G30</f>
        <v>25.048164554157832</v>
      </c>
      <c r="G48" s="37">
        <f>G83/H30</f>
        <v>43.749893541870904</v>
      </c>
      <c r="H48" s="37">
        <f>H83/I30</f>
        <v>13.255449960246656</v>
      </c>
      <c r="I48" s="37">
        <f>I83/J30</f>
        <v>11.831166236927148</v>
      </c>
      <c r="J48" s="37">
        <f>J83/K30</f>
        <v>12.312157097339202</v>
      </c>
      <c r="K48" s="37">
        <f>K83/L30</f>
        <v>12.101860493994556</v>
      </c>
      <c r="L48" s="37">
        <f>L83/M30</f>
        <v>12.40750641928427</v>
      </c>
      <c r="M48" s="29">
        <f>M83/N30</f>
        <v>12.70886942765176</v>
      </c>
      <c r="N48" s="37">
        <f>N83/O30</f>
        <v>12.708869427651736</v>
      </c>
      <c r="O48" s="37">
        <f>O83/P30</f>
        <v>12.708869427651766</v>
      </c>
      <c r="P48" s="37">
        <f>P83/Q30</f>
        <v>12.70886942765173</v>
      </c>
      <c r="Q48" s="37">
        <f>Q83/R30</f>
        <v>12.708869427651733</v>
      </c>
      <c r="R48" s="37">
        <f>R83/S30</f>
        <v>6.539277632155326</v>
      </c>
      <c r="S48" s="37">
        <f>S83/T30</f>
        <v>6.076915826949817</v>
      </c>
      <c r="T48" s="37">
        <f>T83/U30</f>
        <v>5.579903684088421</v>
      </c>
      <c r="U48" s="37">
        <f>U83/V30</f>
        <v>5.045644436523893</v>
      </c>
      <c r="V48" s="37">
        <f>V83/W30</f>
        <v>4.471346710184809</v>
      </c>
      <c r="W48" s="37">
        <f>W83/X30</f>
        <v>3.8540099397278658</v>
      </c>
      <c r="X48" s="37">
        <f>X83/Y30</f>
        <v>3.190408691316872</v>
      </c>
      <c r="Y48" s="37">
        <f>Y83/Z30</f>
        <v>2.477075810518811</v>
      </c>
      <c r="Z48" s="37">
        <f>Z83/AA30</f>
        <v>1.7102843072687677</v>
      </c>
      <c r="AA48" s="37">
        <f>AA83/AB30</f>
        <v>0.886027883257242</v>
      </c>
      <c r="AB48" s="37" t="e">
        <f>AB83/AC30</f>
        <v>#DIV/0!</v>
      </c>
    </row>
    <row r="49" spans="1:28" ht="10.5" hidden="1">
      <c r="A49" s="19">
        <v>35</v>
      </c>
      <c r="C49" s="6" t="s">
        <v>38</v>
      </c>
      <c r="D49" s="37"/>
      <c r="E49" s="37">
        <f>E83/E30</f>
        <v>22.226713136575594</v>
      </c>
      <c r="F49" s="37">
        <f>F83/F30</f>
        <v>19.522834137799475</v>
      </c>
      <c r="G49" s="37">
        <f>G83/G30</f>
        <v>27.240499752485697</v>
      </c>
      <c r="H49" s="37">
        <f>H83/H30</f>
        <v>48.20163621907876</v>
      </c>
      <c r="I49" s="37">
        <f>I83/I30</f>
        <v>14.26312818562884</v>
      </c>
      <c r="J49" s="37">
        <f>J83/J30</f>
        <v>12.964644685447038</v>
      </c>
      <c r="K49" s="37">
        <f>K83/K30</f>
        <v>13.370834574677753</v>
      </c>
      <c r="L49" s="37">
        <f>L83/L30</f>
        <v>13.05128526776516</v>
      </c>
      <c r="M49" s="29">
        <f>M83/M30</f>
        <v>13.509095306219477</v>
      </c>
      <c r="N49" s="37">
        <f>N83/N30</f>
        <v>12.963046816204773</v>
      </c>
      <c r="O49" s="37">
        <f>O83/O30</f>
        <v>12.963046816204802</v>
      </c>
      <c r="P49" s="37">
        <f>P83/P30</f>
        <v>12.963046816204765</v>
      </c>
      <c r="Q49" s="37">
        <f>Q83/Q30</f>
        <v>12.96304681620477</v>
      </c>
      <c r="R49" s="37">
        <f>R83/R30</f>
        <v>6.670063184798434</v>
      </c>
      <c r="S49" s="37">
        <f>S83/S30</f>
        <v>6.198454143488809</v>
      </c>
      <c r="T49" s="37">
        <f>T83/T30</f>
        <v>5.691501757770193</v>
      </c>
      <c r="U49" s="37">
        <f>U83/U30</f>
        <v>5.1465573252543715</v>
      </c>
      <c r="V49" s="37">
        <f>V83/V30</f>
        <v>4.5607736443885045</v>
      </c>
      <c r="W49" s="37">
        <f>W83/W30</f>
        <v>3.9310901385224217</v>
      </c>
      <c r="X49" s="37">
        <f>X83/X30</f>
        <v>3.2542168651432104</v>
      </c>
      <c r="Y49" s="37">
        <f>Y83/Y30</f>
        <v>2.526617326729186</v>
      </c>
      <c r="Z49" s="37">
        <f>Z83/Z30</f>
        <v>1.7444899934141433</v>
      </c>
      <c r="AA49" s="37">
        <f>AA83/AA30</f>
        <v>0.9037484409223868</v>
      </c>
      <c r="AB49" s="37">
        <f>AB83/AB30</f>
        <v>0</v>
      </c>
    </row>
    <row r="50" spans="1:28" ht="10.5" hidden="1">
      <c r="A50" s="19">
        <v>36</v>
      </c>
      <c r="C50" s="6" t="s">
        <v>39</v>
      </c>
      <c r="D50" s="37">
        <f>D83/E38</f>
        <v>24.318897221073303</v>
      </c>
      <c r="E50" s="37">
        <f>E83/F38</f>
        <v>98.90025845267016</v>
      </c>
      <c r="F50" s="37">
        <f>F83/G38</f>
        <v>62.93139311236506</v>
      </c>
      <c r="G50" s="37">
        <f>G83/H38</f>
        <v>918.7477643793014</v>
      </c>
      <c r="H50" s="37">
        <f>H83/I38</f>
        <v>39.29851047037832</v>
      </c>
      <c r="I50" s="37">
        <f>I83/J38</f>
        <v>213.94692278443318</v>
      </c>
      <c r="J50" s="37">
        <f>J83/K38</f>
        <v>73.0734518634288</v>
      </c>
      <c r="K50" s="37">
        <f>K83/L38</f>
        <v>49.48093540834996</v>
      </c>
      <c r="L50" s="37">
        <f>L83/M38</f>
        <v>112.01009910380378</v>
      </c>
      <c r="M50" s="29">
        <f>M83/N38</f>
        <v>13.082004913145699</v>
      </c>
      <c r="N50" s="37">
        <f>N83/O38</f>
        <v>13.082004913145747</v>
      </c>
      <c r="O50" s="37">
        <f>O83/P38</f>
        <v>13.082004913145749</v>
      </c>
      <c r="P50" s="37">
        <f>P83/Q38</f>
        <v>13.082004913145724</v>
      </c>
      <c r="Q50" s="37">
        <f>Q83/R38</f>
        <v>13.082004913145706</v>
      </c>
      <c r="R50" s="37">
        <f>R83/S38</f>
        <v>6.73127240776812</v>
      </c>
      <c r="S50" s="37">
        <f>S83/T38</f>
        <v>6.25533554794099</v>
      </c>
      <c r="T50" s="37">
        <f>T83/U38</f>
        <v>5.74373100814935</v>
      </c>
      <c r="U50" s="37">
        <f>U83/V38</f>
        <v>5.193785779636291</v>
      </c>
      <c r="V50" s="37">
        <f>V83/W38</f>
        <v>4.602626532911339</v>
      </c>
      <c r="W50" s="37">
        <f>W83/X38</f>
        <v>3.9671646053057557</v>
      </c>
      <c r="X50" s="37">
        <f>X83/Y38</f>
        <v>3.284079863464467</v>
      </c>
      <c r="Y50" s="37">
        <f>Y83/Z38</f>
        <v>2.549803356460248</v>
      </c>
      <c r="Z50" s="37">
        <f>Z83/AA38</f>
        <v>1.7604986688969595</v>
      </c>
      <c r="AA50" s="37">
        <f>AA83/AB38</f>
        <v>0.9120418765760424</v>
      </c>
      <c r="AB50" s="37" t="e">
        <f>AB83/AC38</f>
        <v>#DIV/0!</v>
      </c>
    </row>
    <row r="51" spans="1:13" ht="12" customHeight="1">
      <c r="A51" s="19"/>
      <c r="B51" s="24"/>
      <c r="C51" s="13"/>
      <c r="D51" s="13"/>
      <c r="E51" s="24"/>
      <c r="F51" s="8"/>
      <c r="G51" s="24"/>
      <c r="H51" s="16"/>
      <c r="M51" s="30"/>
    </row>
    <row r="52" spans="1:13" ht="12" customHeight="1">
      <c r="A52" s="19"/>
      <c r="B52" s="24"/>
      <c r="C52" s="13"/>
      <c r="D52" s="13"/>
      <c r="E52" s="24"/>
      <c r="F52" s="8"/>
      <c r="G52" s="24"/>
      <c r="H52" s="16"/>
      <c r="M52" s="30"/>
    </row>
    <row r="53" spans="1:28" ht="12" customHeight="1">
      <c r="A53" s="19"/>
      <c r="B53"/>
      <c r="C53"/>
      <c r="D53" s="76">
        <v>0</v>
      </c>
      <c r="E53" s="76">
        <v>1</v>
      </c>
      <c r="F53" s="76">
        <f aca="true" t="shared" si="55" ref="F53:U53">E53+1</f>
        <v>2</v>
      </c>
      <c r="G53" s="76">
        <f t="shared" si="55"/>
        <v>3</v>
      </c>
      <c r="H53" s="76">
        <f t="shared" si="55"/>
        <v>4</v>
      </c>
      <c r="I53" s="76">
        <f t="shared" si="55"/>
        <v>5</v>
      </c>
      <c r="J53" s="76">
        <f t="shared" si="55"/>
        <v>6</v>
      </c>
      <c r="K53" s="76">
        <f t="shared" si="55"/>
        <v>7</v>
      </c>
      <c r="L53" s="76">
        <f t="shared" si="55"/>
        <v>8</v>
      </c>
      <c r="M53" s="76">
        <f t="shared" si="55"/>
        <v>9</v>
      </c>
      <c r="N53" s="76">
        <f t="shared" si="55"/>
        <v>10</v>
      </c>
      <c r="O53" s="76">
        <f t="shared" si="55"/>
        <v>11</v>
      </c>
      <c r="P53" s="76">
        <f t="shared" si="55"/>
        <v>12</v>
      </c>
      <c r="Q53" s="76">
        <f t="shared" si="55"/>
        <v>13</v>
      </c>
      <c r="R53" s="76">
        <f t="shared" si="55"/>
        <v>14</v>
      </c>
      <c r="S53" s="49">
        <f t="shared" si="55"/>
        <v>15</v>
      </c>
      <c r="T53" s="12">
        <f t="shared" si="55"/>
        <v>16</v>
      </c>
      <c r="U53" s="24">
        <f t="shared" si="55"/>
        <v>17</v>
      </c>
      <c r="V53" s="24">
        <f aca="true" t="shared" si="56" ref="V53:AB53">U53+1</f>
        <v>18</v>
      </c>
      <c r="W53" s="24">
        <f t="shared" si="56"/>
        <v>19</v>
      </c>
      <c r="X53" s="24">
        <f t="shared" si="56"/>
        <v>20</v>
      </c>
      <c r="Y53" s="24">
        <f t="shared" si="56"/>
        <v>21</v>
      </c>
      <c r="Z53" s="24">
        <f t="shared" si="56"/>
        <v>22</v>
      </c>
      <c r="AA53" s="24">
        <f t="shared" si="56"/>
        <v>23</v>
      </c>
      <c r="AB53" s="24">
        <f t="shared" si="56"/>
        <v>24</v>
      </c>
    </row>
    <row r="54" spans="1:28" ht="13.5" customHeight="1">
      <c r="A54" s="114">
        <v>32</v>
      </c>
      <c r="B54" s="129"/>
      <c r="C54" s="162" t="s">
        <v>40</v>
      </c>
      <c r="D54" s="94">
        <v>0.8</v>
      </c>
      <c r="E54" s="94">
        <f>D54</f>
        <v>0.8</v>
      </c>
      <c r="F54" s="94">
        <f aca="true" t="shared" si="57" ref="F54:AB54">E54</f>
        <v>0.8</v>
      </c>
      <c r="G54" s="94">
        <f t="shared" si="57"/>
        <v>0.8</v>
      </c>
      <c r="H54" s="94">
        <f t="shared" si="57"/>
        <v>0.8</v>
      </c>
      <c r="I54" s="94">
        <f t="shared" si="57"/>
        <v>0.8</v>
      </c>
      <c r="J54" s="94">
        <f t="shared" si="57"/>
        <v>0.8</v>
      </c>
      <c r="K54" s="94">
        <f t="shared" si="57"/>
        <v>0.8</v>
      </c>
      <c r="L54" s="94">
        <f t="shared" si="57"/>
        <v>0.8</v>
      </c>
      <c r="M54" s="94">
        <f t="shared" si="57"/>
        <v>0.8</v>
      </c>
      <c r="N54" s="94">
        <f t="shared" si="57"/>
        <v>0.8</v>
      </c>
      <c r="O54" s="94">
        <f t="shared" si="57"/>
        <v>0.8</v>
      </c>
      <c r="P54" s="94">
        <f t="shared" si="57"/>
        <v>0.8</v>
      </c>
      <c r="Q54" s="94">
        <f t="shared" si="57"/>
        <v>0.8</v>
      </c>
      <c r="R54" s="94">
        <f t="shared" si="57"/>
        <v>0.8</v>
      </c>
      <c r="S54" s="94">
        <f t="shared" si="57"/>
        <v>0.8</v>
      </c>
      <c r="T54" s="94">
        <f t="shared" si="57"/>
        <v>0.8</v>
      </c>
      <c r="U54" s="94">
        <f t="shared" si="57"/>
        <v>0.8</v>
      </c>
      <c r="V54" s="94">
        <f t="shared" si="57"/>
        <v>0.8</v>
      </c>
      <c r="W54" s="94">
        <f t="shared" si="57"/>
        <v>0.8</v>
      </c>
      <c r="X54" s="94">
        <f t="shared" si="57"/>
        <v>0.8</v>
      </c>
      <c r="Y54" s="94">
        <f t="shared" si="57"/>
        <v>0.8</v>
      </c>
      <c r="Z54" s="94">
        <f t="shared" si="57"/>
        <v>0.8</v>
      </c>
      <c r="AA54" s="94">
        <f t="shared" si="57"/>
        <v>0.8</v>
      </c>
      <c r="AB54" s="94">
        <f t="shared" si="57"/>
        <v>0.8</v>
      </c>
    </row>
    <row r="55" spans="1:28" ht="13.5" customHeight="1">
      <c r="A55" s="117">
        <v>33</v>
      </c>
      <c r="B55" s="131"/>
      <c r="C55" s="147" t="s">
        <v>41</v>
      </c>
      <c r="D55" s="95">
        <v>0.06</v>
      </c>
      <c r="E55" s="95">
        <f>D55</f>
        <v>0.06</v>
      </c>
      <c r="F55" s="95">
        <f aca="true" t="shared" si="58" ref="F55:AB55">E55</f>
        <v>0.06</v>
      </c>
      <c r="G55" s="95">
        <f t="shared" si="58"/>
        <v>0.06</v>
      </c>
      <c r="H55" s="95">
        <f t="shared" si="58"/>
        <v>0.06</v>
      </c>
      <c r="I55" s="95">
        <f t="shared" si="58"/>
        <v>0.06</v>
      </c>
      <c r="J55" s="95">
        <f t="shared" si="58"/>
        <v>0.06</v>
      </c>
      <c r="K55" s="95">
        <f t="shared" si="58"/>
        <v>0.06</v>
      </c>
      <c r="L55" s="95">
        <f t="shared" si="58"/>
        <v>0.06</v>
      </c>
      <c r="M55" s="95">
        <f t="shared" si="58"/>
        <v>0.06</v>
      </c>
      <c r="N55" s="95">
        <f t="shared" si="58"/>
        <v>0.06</v>
      </c>
      <c r="O55" s="95">
        <f t="shared" si="58"/>
        <v>0.06</v>
      </c>
      <c r="P55" s="95">
        <f t="shared" si="58"/>
        <v>0.06</v>
      </c>
      <c r="Q55" s="95">
        <f t="shared" si="58"/>
        <v>0.06</v>
      </c>
      <c r="R55" s="95">
        <f t="shared" si="58"/>
        <v>0.06</v>
      </c>
      <c r="S55" s="95">
        <f t="shared" si="58"/>
        <v>0.06</v>
      </c>
      <c r="T55" s="95">
        <f t="shared" si="58"/>
        <v>0.06</v>
      </c>
      <c r="U55" s="95">
        <f t="shared" si="58"/>
        <v>0.06</v>
      </c>
      <c r="V55" s="95">
        <f t="shared" si="58"/>
        <v>0.06</v>
      </c>
      <c r="W55" s="95">
        <f t="shared" si="58"/>
        <v>0.06</v>
      </c>
      <c r="X55" s="95">
        <f t="shared" si="58"/>
        <v>0.06</v>
      </c>
      <c r="Y55" s="95">
        <f t="shared" si="58"/>
        <v>0.06</v>
      </c>
      <c r="Z55" s="95">
        <f t="shared" si="58"/>
        <v>0.06</v>
      </c>
      <c r="AA55" s="95">
        <f t="shared" si="58"/>
        <v>0.06</v>
      </c>
      <c r="AB55" s="95">
        <f t="shared" si="58"/>
        <v>0.06</v>
      </c>
    </row>
    <row r="56" spans="1:28" ht="13.5" customHeight="1">
      <c r="A56" s="117">
        <v>34</v>
      </c>
      <c r="B56" s="131"/>
      <c r="C56" s="147" t="s">
        <v>42</v>
      </c>
      <c r="D56" s="95">
        <v>0.04</v>
      </c>
      <c r="E56" s="95">
        <f>D56</f>
        <v>0.04</v>
      </c>
      <c r="F56" s="95">
        <f aca="true" t="shared" si="59" ref="F56:AB56">E56</f>
        <v>0.04</v>
      </c>
      <c r="G56" s="95">
        <f t="shared" si="59"/>
        <v>0.04</v>
      </c>
      <c r="H56" s="95">
        <f t="shared" si="59"/>
        <v>0.04</v>
      </c>
      <c r="I56" s="95">
        <f t="shared" si="59"/>
        <v>0.04</v>
      </c>
      <c r="J56" s="95">
        <f t="shared" si="59"/>
        <v>0.04</v>
      </c>
      <c r="K56" s="95">
        <f t="shared" si="59"/>
        <v>0.04</v>
      </c>
      <c r="L56" s="95">
        <f t="shared" si="59"/>
        <v>0.04</v>
      </c>
      <c r="M56" s="95">
        <f t="shared" si="59"/>
        <v>0.04</v>
      </c>
      <c r="N56" s="95">
        <f t="shared" si="59"/>
        <v>0.04</v>
      </c>
      <c r="O56" s="95">
        <f t="shared" si="59"/>
        <v>0.04</v>
      </c>
      <c r="P56" s="95">
        <f t="shared" si="59"/>
        <v>0.04</v>
      </c>
      <c r="Q56" s="95">
        <f t="shared" si="59"/>
        <v>0.04</v>
      </c>
      <c r="R56" s="95">
        <f t="shared" si="59"/>
        <v>0.04</v>
      </c>
      <c r="S56" s="95">
        <f t="shared" si="59"/>
        <v>0.04</v>
      </c>
      <c r="T56" s="95">
        <f t="shared" si="59"/>
        <v>0.04</v>
      </c>
      <c r="U56" s="95">
        <f t="shared" si="59"/>
        <v>0.04</v>
      </c>
      <c r="V56" s="95">
        <f t="shared" si="59"/>
        <v>0.04</v>
      </c>
      <c r="W56" s="95">
        <f t="shared" si="59"/>
        <v>0.04</v>
      </c>
      <c r="X56" s="95">
        <f t="shared" si="59"/>
        <v>0.04</v>
      </c>
      <c r="Y56" s="95">
        <f t="shared" si="59"/>
        <v>0.04</v>
      </c>
      <c r="Z56" s="95">
        <f t="shared" si="59"/>
        <v>0.04</v>
      </c>
      <c r="AA56" s="95">
        <f t="shared" si="59"/>
        <v>0.04</v>
      </c>
      <c r="AB56" s="95">
        <f t="shared" si="59"/>
        <v>0.04</v>
      </c>
    </row>
    <row r="57" spans="1:28" s="7" customFormat="1" ht="13.5" customHeight="1">
      <c r="A57" s="117">
        <v>35</v>
      </c>
      <c r="B57" s="163"/>
      <c r="C57" s="164" t="s">
        <v>43</v>
      </c>
      <c r="D57" s="95">
        <f aca="true" t="shared" si="60" ref="D57:M57">D55+D54*D56</f>
        <v>0.092</v>
      </c>
      <c r="E57" s="95">
        <f t="shared" si="60"/>
        <v>0.092</v>
      </c>
      <c r="F57" s="95">
        <f t="shared" si="60"/>
        <v>0.092</v>
      </c>
      <c r="G57" s="95">
        <f t="shared" si="60"/>
        <v>0.092</v>
      </c>
      <c r="H57" s="95">
        <f t="shared" si="60"/>
        <v>0.092</v>
      </c>
      <c r="I57" s="95">
        <f t="shared" si="60"/>
        <v>0.092</v>
      </c>
      <c r="J57" s="95">
        <f t="shared" si="60"/>
        <v>0.092</v>
      </c>
      <c r="K57" s="95">
        <f t="shared" si="60"/>
        <v>0.092</v>
      </c>
      <c r="L57" s="95">
        <f t="shared" si="60"/>
        <v>0.092</v>
      </c>
      <c r="M57" s="95">
        <f t="shared" si="60"/>
        <v>0.092</v>
      </c>
      <c r="N57" s="95">
        <f aca="true" t="shared" si="61" ref="N57:AB57">N55+N54*N56</f>
        <v>0.092</v>
      </c>
      <c r="O57" s="95">
        <f t="shared" si="61"/>
        <v>0.092</v>
      </c>
      <c r="P57" s="95">
        <f t="shared" si="61"/>
        <v>0.092</v>
      </c>
      <c r="Q57" s="91">
        <f t="shared" si="61"/>
        <v>0.092</v>
      </c>
      <c r="R57" s="91">
        <f t="shared" si="61"/>
        <v>0.092</v>
      </c>
      <c r="S57" s="91">
        <f t="shared" si="61"/>
        <v>0.092</v>
      </c>
      <c r="T57" s="45">
        <f t="shared" si="61"/>
        <v>0.092</v>
      </c>
      <c r="U57" s="45">
        <f t="shared" si="61"/>
        <v>0.092</v>
      </c>
      <c r="V57" s="45">
        <f t="shared" si="61"/>
        <v>0.092</v>
      </c>
      <c r="W57" s="45">
        <f t="shared" si="61"/>
        <v>0.092</v>
      </c>
      <c r="X57" s="45">
        <f t="shared" si="61"/>
        <v>0.092</v>
      </c>
      <c r="Y57" s="45">
        <f t="shared" si="61"/>
        <v>0.092</v>
      </c>
      <c r="Z57" s="45">
        <f t="shared" si="61"/>
        <v>0.092</v>
      </c>
      <c r="AA57" s="45">
        <f t="shared" si="61"/>
        <v>0.092</v>
      </c>
      <c r="AB57" s="45">
        <f t="shared" si="61"/>
        <v>0.092</v>
      </c>
    </row>
    <row r="58" spans="1:28" ht="13.5" customHeight="1" hidden="1">
      <c r="A58" s="117"/>
      <c r="B58" s="131"/>
      <c r="C58" s="145" t="s">
        <v>44</v>
      </c>
      <c r="D58" s="68">
        <f aca="true" t="shared" si="62" ref="D58:P58">NPV(D57,E40:N40)</f>
        <v>1342.9604123242682</v>
      </c>
      <c r="E58" s="68">
        <f t="shared" si="62"/>
        <v>1454.1915993811704</v>
      </c>
      <c r="F58" s="68">
        <f t="shared" si="62"/>
        <v>2152.1496322297694</v>
      </c>
      <c r="G58" s="68">
        <f t="shared" si="62"/>
        <v>2374.88325221455</v>
      </c>
      <c r="H58" s="68">
        <f t="shared" si="62"/>
        <v>2362.743082314323</v>
      </c>
      <c r="I58" s="68">
        <f t="shared" si="62"/>
        <v>2386.1934282011966</v>
      </c>
      <c r="J58" s="68">
        <f t="shared" si="62"/>
        <v>2593.5827655559406</v>
      </c>
      <c r="K58" s="68">
        <f t="shared" si="62"/>
        <v>2691.7091127865274</v>
      </c>
      <c r="L58" s="68">
        <f t="shared" si="62"/>
        <v>2780.0534186183145</v>
      </c>
      <c r="M58" s="68">
        <f t="shared" si="62"/>
        <v>2835.599541935737</v>
      </c>
      <c r="N58" s="68">
        <f t="shared" si="62"/>
        <v>2892.3115327744495</v>
      </c>
      <c r="O58" s="68">
        <f t="shared" si="62"/>
        <v>2950.157763429939</v>
      </c>
      <c r="P58" s="68">
        <f t="shared" si="62"/>
        <v>3009.160918698539</v>
      </c>
      <c r="Q58" s="92"/>
      <c r="R58" s="92"/>
      <c r="S58" s="92"/>
      <c r="T58" s="41"/>
      <c r="U58" s="41"/>
      <c r="V58" s="41"/>
      <c r="W58" s="41"/>
      <c r="X58" s="41"/>
      <c r="Y58" s="41"/>
      <c r="Z58" s="41"/>
      <c r="AA58" s="41"/>
      <c r="AB58" s="41"/>
    </row>
    <row r="59" spans="1:28" ht="13.5" customHeight="1" hidden="1">
      <c r="A59" s="117"/>
      <c r="B59" s="131"/>
      <c r="C59" s="145" t="s">
        <v>45</v>
      </c>
      <c r="D59" s="68">
        <f aca="true" t="shared" si="63" ref="D59:P59">O40/(D57-$O$3)/(1+D57)^10</f>
        <v>2426.094848931516</v>
      </c>
      <c r="E59" s="68">
        <f t="shared" si="63"/>
        <v>2474.616745910152</v>
      </c>
      <c r="F59" s="68">
        <f t="shared" si="63"/>
        <v>2524.1090808283525</v>
      </c>
      <c r="G59" s="68">
        <f t="shared" si="63"/>
        <v>2574.5912624449243</v>
      </c>
      <c r="H59" s="68">
        <f t="shared" si="63"/>
        <v>2626.0830876938194</v>
      </c>
      <c r="I59" s="68">
        <f t="shared" si="63"/>
        <v>2678.604749447699</v>
      </c>
      <c r="J59" s="68">
        <f t="shared" si="63"/>
        <v>2732.1768444366535</v>
      </c>
      <c r="K59" s="68">
        <f t="shared" si="63"/>
        <v>2786.820381325382</v>
      </c>
      <c r="L59" s="68">
        <f t="shared" si="63"/>
        <v>2842.5567889518916</v>
      </c>
      <c r="M59" s="68">
        <f t="shared" si="63"/>
        <v>2899.4079247309282</v>
      </c>
      <c r="N59" s="68">
        <f t="shared" si="63"/>
        <v>2957.39608322554</v>
      </c>
      <c r="O59" s="68">
        <f t="shared" si="63"/>
        <v>3016.5440048900646</v>
      </c>
      <c r="P59" s="68">
        <f t="shared" si="63"/>
        <v>3076.8748849878466</v>
      </c>
      <c r="Q59" s="92"/>
      <c r="R59" s="92"/>
      <c r="S59" s="92"/>
      <c r="T59" s="41"/>
      <c r="U59" s="41"/>
      <c r="V59" s="41"/>
      <c r="W59" s="41"/>
      <c r="X59" s="41"/>
      <c r="Y59" s="41"/>
      <c r="Z59" s="41"/>
      <c r="AA59" s="41"/>
      <c r="AB59" s="41"/>
    </row>
    <row r="60" spans="1:28" s="102" customFormat="1" ht="13.5" customHeight="1" thickBot="1">
      <c r="A60" s="165">
        <v>36</v>
      </c>
      <c r="C60" s="166" t="s">
        <v>46</v>
      </c>
      <c r="D60" s="161">
        <f aca="true" t="shared" si="64" ref="D60:P60">D58+D59</f>
        <v>3769.055261255784</v>
      </c>
      <c r="E60" s="161">
        <f t="shared" si="64"/>
        <v>3928.8083452913224</v>
      </c>
      <c r="F60" s="161">
        <f t="shared" si="64"/>
        <v>4676.258713058121</v>
      </c>
      <c r="G60" s="161">
        <f t="shared" si="64"/>
        <v>4949.474514659474</v>
      </c>
      <c r="H60" s="161">
        <f t="shared" si="64"/>
        <v>4988.826170008142</v>
      </c>
      <c r="I60" s="161">
        <f t="shared" si="64"/>
        <v>5064.798177648896</v>
      </c>
      <c r="J60" s="161">
        <f t="shared" si="64"/>
        <v>5325.759609992594</v>
      </c>
      <c r="K60" s="161">
        <f t="shared" si="64"/>
        <v>5478.52949411191</v>
      </c>
      <c r="L60" s="161">
        <f t="shared" si="64"/>
        <v>5622.610207570206</v>
      </c>
      <c r="M60" s="161">
        <f t="shared" si="64"/>
        <v>5735.007466666665</v>
      </c>
      <c r="N60" s="161">
        <f t="shared" si="64"/>
        <v>5849.70761599999</v>
      </c>
      <c r="O60" s="161">
        <f t="shared" si="64"/>
        <v>5966.701768320004</v>
      </c>
      <c r="P60" s="161">
        <f t="shared" si="64"/>
        <v>6086.035803686385</v>
      </c>
      <c r="Q60" s="103"/>
      <c r="R60" s="103"/>
      <c r="S60" s="103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1:28" ht="13.5" customHeight="1">
      <c r="A61" s="117"/>
      <c r="B61" s="131"/>
      <c r="C61" s="147" t="s">
        <v>85</v>
      </c>
      <c r="D61" s="173">
        <v>0.07</v>
      </c>
      <c r="E61" s="173">
        <f>D61</f>
        <v>0.07</v>
      </c>
      <c r="F61" s="173">
        <f aca="true" t="shared" si="65" ref="F61:AB61">E61</f>
        <v>0.07</v>
      </c>
      <c r="G61" s="173">
        <f t="shared" si="65"/>
        <v>0.07</v>
      </c>
      <c r="H61" s="173">
        <f t="shared" si="65"/>
        <v>0.07</v>
      </c>
      <c r="I61" s="173">
        <f t="shared" si="65"/>
        <v>0.07</v>
      </c>
      <c r="J61" s="173">
        <f t="shared" si="65"/>
        <v>0.07</v>
      </c>
      <c r="K61" s="173">
        <f t="shared" si="65"/>
        <v>0.07</v>
      </c>
      <c r="L61" s="173">
        <f t="shared" si="65"/>
        <v>0.07</v>
      </c>
      <c r="M61" s="173">
        <f t="shared" si="65"/>
        <v>0.07</v>
      </c>
      <c r="N61" s="173">
        <f t="shared" si="65"/>
        <v>0.07</v>
      </c>
      <c r="O61" s="173">
        <f t="shared" si="65"/>
        <v>0.07</v>
      </c>
      <c r="P61" s="173">
        <f t="shared" si="65"/>
        <v>0.07</v>
      </c>
      <c r="Q61" s="173">
        <f t="shared" si="65"/>
        <v>0.07</v>
      </c>
      <c r="R61" s="173">
        <f t="shared" si="65"/>
        <v>0.07</v>
      </c>
      <c r="S61" s="173">
        <f t="shared" si="65"/>
        <v>0.07</v>
      </c>
      <c r="T61" s="173">
        <f t="shared" si="65"/>
        <v>0.07</v>
      </c>
      <c r="U61" s="173">
        <f t="shared" si="65"/>
        <v>0.07</v>
      </c>
      <c r="V61" s="173">
        <f t="shared" si="65"/>
        <v>0.07</v>
      </c>
      <c r="W61" s="173">
        <f t="shared" si="65"/>
        <v>0.07</v>
      </c>
      <c r="X61" s="173">
        <f t="shared" si="65"/>
        <v>0.07</v>
      </c>
      <c r="Y61" s="173">
        <f t="shared" si="65"/>
        <v>0.07</v>
      </c>
      <c r="Z61" s="173">
        <f t="shared" si="65"/>
        <v>0.07</v>
      </c>
      <c r="AA61" s="173">
        <f t="shared" si="65"/>
        <v>0.07</v>
      </c>
      <c r="AB61" s="173">
        <f t="shared" si="65"/>
        <v>0.07</v>
      </c>
    </row>
    <row r="62" spans="1:28" ht="13.5" customHeight="1" hidden="1">
      <c r="A62" s="117"/>
      <c r="B62" s="131"/>
      <c r="C62" s="147" t="s">
        <v>86</v>
      </c>
      <c r="D62" s="173"/>
      <c r="E62" s="191">
        <f aca="true" t="shared" si="66" ref="E62:AB62">E27-E35</f>
        <v>126.00000000000001</v>
      </c>
      <c r="F62" s="191">
        <f t="shared" si="66"/>
        <v>-374</v>
      </c>
      <c r="G62" s="191">
        <f t="shared" si="66"/>
        <v>161.00000000000003</v>
      </c>
      <c r="H62" s="191">
        <f t="shared" si="66"/>
        <v>461</v>
      </c>
      <c r="I62" s="191">
        <f t="shared" si="66"/>
        <v>340</v>
      </c>
      <c r="J62" s="191">
        <f t="shared" si="66"/>
        <v>226</v>
      </c>
      <c r="K62" s="191">
        <f t="shared" si="66"/>
        <v>319</v>
      </c>
      <c r="L62" s="191">
        <f t="shared" si="66"/>
        <v>305</v>
      </c>
      <c r="M62" s="191">
        <f t="shared" si="66"/>
        <v>391</v>
      </c>
      <c r="N62" s="191">
        <f t="shared" si="66"/>
        <v>50</v>
      </c>
      <c r="O62" s="191">
        <f t="shared" si="66"/>
        <v>50.999999999999915</v>
      </c>
      <c r="P62" s="191">
        <f t="shared" si="66"/>
        <v>52.020000000000024</v>
      </c>
      <c r="Q62" s="191">
        <f t="shared" si="66"/>
        <v>53.06040000000003</v>
      </c>
      <c r="R62" s="191">
        <f t="shared" si="66"/>
        <v>54.121608000000094</v>
      </c>
      <c r="S62" s="191">
        <f t="shared" si="66"/>
        <v>55.20404016000006</v>
      </c>
      <c r="T62" s="191">
        <f t="shared" si="66"/>
        <v>56.3081209631999</v>
      </c>
      <c r="U62" s="191">
        <f t="shared" si="66"/>
        <v>57.434283382463946</v>
      </c>
      <c r="V62" s="191">
        <f t="shared" si="66"/>
        <v>58.582969050113235</v>
      </c>
      <c r="W62" s="191">
        <f t="shared" si="66"/>
        <v>59.754628431115435</v>
      </c>
      <c r="X62" s="191">
        <f t="shared" si="66"/>
        <v>60.94972099973782</v>
      </c>
      <c r="Y62" s="191">
        <f t="shared" si="66"/>
        <v>62.16871541973265</v>
      </c>
      <c r="Z62" s="191">
        <f t="shared" si="66"/>
        <v>63.4120897281272</v>
      </c>
      <c r="AA62" s="191">
        <f t="shared" si="66"/>
        <v>64.68033152268971</v>
      </c>
      <c r="AB62" s="191">
        <f t="shared" si="66"/>
        <v>65.97393815314359</v>
      </c>
    </row>
    <row r="63" spans="1:28" ht="13.5" customHeight="1" hidden="1">
      <c r="A63" s="117"/>
      <c r="B63" s="131"/>
      <c r="C63" s="147" t="s">
        <v>87</v>
      </c>
      <c r="D63" s="173"/>
      <c r="E63" s="192">
        <f>1/(1+D67)</f>
        <v>0.933183538255783</v>
      </c>
      <c r="F63" s="192">
        <f>E63/(1+E67)</f>
        <v>0.8711432474582738</v>
      </c>
      <c r="G63" s="192">
        <f>F63/(1+F67)</f>
        <v>0.8119349581950478</v>
      </c>
      <c r="H63" s="192">
        <f>G63/(1+G67)</f>
        <v>0.7571209414376645</v>
      </c>
      <c r="I63" s="192">
        <f>H63/(1+H67)</f>
        <v>0.7072104628754712</v>
      </c>
      <c r="J63" s="192">
        <f>I63/(1+I67)</f>
        <v>0.6613827676242805</v>
      </c>
      <c r="K63" s="192">
        <f>J63/(1+J67)</f>
        <v>0.6190783930380891</v>
      </c>
      <c r="L63" s="192">
        <f>K63/(1+K67)</f>
        <v>0.5801958779032932</v>
      </c>
      <c r="M63" s="192">
        <f>L63/(1+L67)</f>
        <v>0.5444032278933818</v>
      </c>
      <c r="N63" s="192">
        <f>M63/(1+M67)</f>
        <v>0.5116687576187647</v>
      </c>
      <c r="O63" s="192">
        <f>N63/(1+N67)</f>
        <v>0.4809025812286389</v>
      </c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</row>
    <row r="64" spans="1:28" ht="13.5" customHeight="1" hidden="1">
      <c r="A64" s="117"/>
      <c r="B64" s="131"/>
      <c r="C64" s="147" t="s">
        <v>88</v>
      </c>
      <c r="D64" s="173"/>
      <c r="E64" s="40">
        <f>E62*E63</f>
        <v>117.58112582022868</v>
      </c>
      <c r="F64" s="40">
        <f aca="true" t="shared" si="67" ref="F64:O64">F62*F63</f>
        <v>-325.80757454939436</v>
      </c>
      <c r="G64" s="40">
        <f t="shared" si="67"/>
        <v>130.7215282694027</v>
      </c>
      <c r="H64" s="40">
        <f t="shared" si="67"/>
        <v>349.03275400276334</v>
      </c>
      <c r="I64" s="40">
        <f t="shared" si="67"/>
        <v>240.4515573776602</v>
      </c>
      <c r="J64" s="40">
        <f t="shared" si="67"/>
        <v>149.4725054830874</v>
      </c>
      <c r="K64" s="40">
        <f t="shared" si="67"/>
        <v>197.4860073791504</v>
      </c>
      <c r="L64" s="40">
        <f t="shared" si="67"/>
        <v>176.9597427605044</v>
      </c>
      <c r="M64" s="40">
        <f t="shared" si="67"/>
        <v>212.86166210631228</v>
      </c>
      <c r="N64" s="40">
        <f t="shared" si="67"/>
        <v>25.583437880938238</v>
      </c>
      <c r="O64" s="40">
        <f t="shared" si="67"/>
        <v>24.52603164266054</v>
      </c>
      <c r="P64" s="40">
        <f>P62/(O67-O3)*O63</f>
        <v>568.8695662667712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 customHeight="1">
      <c r="A65" s="117"/>
      <c r="B65" s="131"/>
      <c r="C65" s="147" t="s">
        <v>89</v>
      </c>
      <c r="D65" s="193">
        <f aca="true" t="shared" si="68" ref="D65:P65">D14</f>
        <v>1800</v>
      </c>
      <c r="E65" s="193">
        <f t="shared" si="68"/>
        <v>1800</v>
      </c>
      <c r="F65" s="193">
        <f t="shared" si="68"/>
        <v>2300</v>
      </c>
      <c r="G65" s="193">
        <f t="shared" si="68"/>
        <v>2300</v>
      </c>
      <c r="H65" s="193">
        <f t="shared" si="68"/>
        <v>2000</v>
      </c>
      <c r="I65" s="193">
        <f t="shared" si="68"/>
        <v>1800</v>
      </c>
      <c r="J65" s="193">
        <f t="shared" si="68"/>
        <v>1700</v>
      </c>
      <c r="K65" s="193">
        <f t="shared" si="68"/>
        <v>1500</v>
      </c>
      <c r="L65" s="193">
        <f t="shared" si="68"/>
        <v>1300</v>
      </c>
      <c r="M65" s="193">
        <f t="shared" si="68"/>
        <v>1000</v>
      </c>
      <c r="N65" s="193">
        <f t="shared" si="68"/>
        <v>1020</v>
      </c>
      <c r="O65" s="193">
        <f t="shared" si="68"/>
        <v>1040.4</v>
      </c>
      <c r="P65" s="193">
        <f t="shared" si="68"/>
        <v>1061.208</v>
      </c>
      <c r="Q65" s="173"/>
      <c r="R65" s="173"/>
      <c r="S65" s="173"/>
      <c r="T65" s="190"/>
      <c r="U65" s="190"/>
      <c r="V65" s="190"/>
      <c r="W65" s="190"/>
      <c r="X65" s="190"/>
      <c r="Y65" s="190"/>
      <c r="Z65" s="190"/>
      <c r="AA65" s="190"/>
      <c r="AB65" s="190"/>
    </row>
    <row r="66" spans="1:28" ht="13.5" customHeight="1">
      <c r="A66" s="117">
        <v>48</v>
      </c>
      <c r="B66" s="131"/>
      <c r="C66" s="147" t="s">
        <v>48</v>
      </c>
      <c r="D66" s="138">
        <f>SUM(E64:P64)</f>
        <v>1867.738344440085</v>
      </c>
      <c r="E66" s="138">
        <f>D66*(1+D67)-E62</f>
        <v>1875.469451476911</v>
      </c>
      <c r="F66" s="138">
        <f>E66*(1+E67)-F62</f>
        <v>2383.0349362475954</v>
      </c>
      <c r="G66" s="138">
        <f>F66*(1+F67)-G62</f>
        <v>2395.8116906607565</v>
      </c>
      <c r="H66" s="138">
        <f>G66*(1+G67)-H62</f>
        <v>2108.263585823038</v>
      </c>
      <c r="I66" s="138">
        <f>H66*(1+H67)-I62</f>
        <v>1917.051605835974</v>
      </c>
      <c r="J66" s="138">
        <f>I66*(1+I67)-J62</f>
        <v>1823.8855124232787</v>
      </c>
      <c r="K66" s="138">
        <f>J66*(1+J67)-K62</f>
        <v>1629.5197054230252</v>
      </c>
      <c r="L66" s="138">
        <f>K66*(1+K67)-L62</f>
        <v>1433.7239018360162</v>
      </c>
      <c r="M66" s="138">
        <f>L66*(1+L67)-M62</f>
        <v>1136.9863440846343</v>
      </c>
      <c r="N66" s="138">
        <f>M66*(1+M67)-N62</f>
        <v>1159.726070966327</v>
      </c>
      <c r="O66" s="138">
        <f>N66*(1+N67)-O62</f>
        <v>1182.9205923856534</v>
      </c>
      <c r="P66" s="68">
        <f>O66*(1+O67)-P62</f>
        <v>1206.5790042333665</v>
      </c>
      <c r="Q66" s="68">
        <f aca="true" t="shared" si="69" ref="Q66:AB66">Q14</f>
        <v>1082.43216</v>
      </c>
      <c r="R66" s="68">
        <f t="shared" si="69"/>
        <v>1104.0808032</v>
      </c>
      <c r="S66" s="68">
        <f t="shared" si="69"/>
        <v>1126.162419264</v>
      </c>
      <c r="T66" s="2">
        <f t="shared" si="69"/>
        <v>1148.68566764928</v>
      </c>
      <c r="U66" s="2">
        <f t="shared" si="69"/>
        <v>1171.6593810022657</v>
      </c>
      <c r="V66" s="2">
        <f t="shared" si="69"/>
        <v>1195.092568622311</v>
      </c>
      <c r="W66" s="2">
        <f t="shared" si="69"/>
        <v>1218.9944199947574</v>
      </c>
      <c r="X66" s="2">
        <f t="shared" si="69"/>
        <v>1243.3743083946526</v>
      </c>
      <c r="Y66" s="2">
        <f t="shared" si="69"/>
        <v>1268.2417945625457</v>
      </c>
      <c r="Z66" s="2">
        <f t="shared" si="69"/>
        <v>1293.6066304537967</v>
      </c>
      <c r="AA66" s="2">
        <f t="shared" si="69"/>
        <v>1319.4787630628728</v>
      </c>
      <c r="AB66" s="2">
        <f t="shared" si="69"/>
        <v>1345.8683383241303</v>
      </c>
    </row>
    <row r="67" spans="1:28" ht="13.5" customHeight="1">
      <c r="A67" s="117">
        <v>39</v>
      </c>
      <c r="B67" s="131"/>
      <c r="C67" s="147" t="s">
        <v>49</v>
      </c>
      <c r="D67" s="87">
        <f>D55+(D66-D73)/D60*(D57-D55)</f>
        <v>0.07160055766639839</v>
      </c>
      <c r="E67" s="87">
        <f>E55+(E66-E73)/E60*(E57-E55)</f>
        <v>0.0712170942936466</v>
      </c>
      <c r="F67" s="87">
        <f>F55+(F66-F73)/F60*(F57-F55)</f>
        <v>0.07292245353599205</v>
      </c>
      <c r="G67" s="87">
        <f>G55+(G66-G73)/G60*(G57-G55)</f>
        <v>0.07239796676776547</v>
      </c>
      <c r="H67" s="87">
        <f>H55+(H66-H73)/H60*(H57-H55)</f>
        <v>0.07057372759908079</v>
      </c>
      <c r="I67" s="87">
        <f>I55+(I66-I73)/I60*(I57-I55)</f>
        <v>0.06929073071529519</v>
      </c>
      <c r="J67" s="87">
        <f>J55+(J66-J73)/J60*(J57-J55)</f>
        <v>0.06833443883994283</v>
      </c>
      <c r="K67" s="87">
        <f>K55+(K66-K73)/K60*(K57-K55)</f>
        <v>0.06701618645638978</v>
      </c>
      <c r="L67" s="87">
        <f>L55+(L66-L73)/L60*(L57-L55)</f>
        <v>0.06574657932946947</v>
      </c>
      <c r="M67" s="87">
        <f>M55+(M66-M73)/M60*(M57-M55)</f>
        <v>0.063975901962353</v>
      </c>
      <c r="N67" s="87">
        <f>N55+(N66-N73)/N60*(N57-N55)</f>
        <v>0.06397590196235302</v>
      </c>
      <c r="O67" s="87">
        <f>O55+(O66-O73)/O60*(O57-O55)</f>
        <v>0.063975901962353</v>
      </c>
      <c r="P67" s="87">
        <f aca="true" t="shared" si="70" ref="P67:AB67">O67</f>
        <v>0.063975901962353</v>
      </c>
      <c r="Q67" s="87">
        <f t="shared" si="70"/>
        <v>0.063975901962353</v>
      </c>
      <c r="R67" s="87">
        <f t="shared" si="70"/>
        <v>0.063975901962353</v>
      </c>
      <c r="S67" s="96">
        <f t="shared" si="70"/>
        <v>0.063975901962353</v>
      </c>
      <c r="T67" s="8">
        <f t="shared" si="70"/>
        <v>0.063975901962353</v>
      </c>
      <c r="U67" s="8">
        <f t="shared" si="70"/>
        <v>0.063975901962353</v>
      </c>
      <c r="V67" s="8">
        <f t="shared" si="70"/>
        <v>0.063975901962353</v>
      </c>
      <c r="W67" s="8">
        <f t="shared" si="70"/>
        <v>0.063975901962353</v>
      </c>
      <c r="X67" s="8">
        <f t="shared" si="70"/>
        <v>0.063975901962353</v>
      </c>
      <c r="Y67" s="8">
        <f t="shared" si="70"/>
        <v>0.063975901962353</v>
      </c>
      <c r="Z67" s="8">
        <f t="shared" si="70"/>
        <v>0.063975901962353</v>
      </c>
      <c r="AA67" s="8">
        <f t="shared" si="70"/>
        <v>0.063975901962353</v>
      </c>
      <c r="AB67" s="8">
        <f t="shared" si="70"/>
        <v>0.063975901962353</v>
      </c>
    </row>
    <row r="68" spans="1:28" s="39" customFormat="1" ht="13.5" customHeight="1">
      <c r="A68" s="120">
        <v>40</v>
      </c>
      <c r="C68" s="149" t="s">
        <v>50</v>
      </c>
      <c r="D68" s="108">
        <f>(D67-D55)/D56</f>
        <v>0.2900139416599598</v>
      </c>
      <c r="E68" s="108">
        <f>(E67-E55)/E56</f>
        <v>0.2804273573411651</v>
      </c>
      <c r="F68" s="108">
        <f>(F67-F55)/F56</f>
        <v>0.3230613383998014</v>
      </c>
      <c r="G68" s="108">
        <f>(G67-G55)/G56</f>
        <v>0.3099491691941368</v>
      </c>
      <c r="H68" s="108">
        <f>(H67-H55)/H56</f>
        <v>0.2643431899770197</v>
      </c>
      <c r="I68" s="108">
        <f>(I67-I55)/I56</f>
        <v>0.23226826788237986</v>
      </c>
      <c r="J68" s="109">
        <f>(J67-J55)/J56</f>
        <v>0.20836097099857093</v>
      </c>
      <c r="K68" s="109">
        <f>(K67-K55)/K56</f>
        <v>0.1754046614097445</v>
      </c>
      <c r="L68" s="109">
        <f>(L67-L55)/L56</f>
        <v>0.14366448323673667</v>
      </c>
      <c r="M68" s="109">
        <f>(M67-M55)/M56</f>
        <v>0.09939754905882517</v>
      </c>
      <c r="N68" s="109">
        <f>(N67-N55)/N56</f>
        <v>0.09939754905882552</v>
      </c>
      <c r="O68" s="109">
        <f>(O67-O55)/O56</f>
        <v>0.09939754905882517</v>
      </c>
      <c r="P68" s="109">
        <f>(P67-P55)/P56</f>
        <v>0.09939754905882517</v>
      </c>
      <c r="Q68" s="110">
        <f>(Q67-Q55)/Q56</f>
        <v>0.09939754905882517</v>
      </c>
      <c r="R68" s="110">
        <f>(R67-R55)/R56</f>
        <v>0.09939754905882517</v>
      </c>
      <c r="S68" s="110">
        <f>(S67-S55)/S56</f>
        <v>0.09939754905882517</v>
      </c>
      <c r="T68" s="111">
        <f>(T67-T55)/T56</f>
        <v>0.09939754905882517</v>
      </c>
      <c r="U68" s="111">
        <f>(U67-U55)/U56</f>
        <v>0.09939754905882517</v>
      </c>
      <c r="V68" s="111">
        <f>(V67-V55)/V56</f>
        <v>0.09939754905882517</v>
      </c>
      <c r="W68" s="111">
        <f>(W67-W55)/W56</f>
        <v>0.09939754905882517</v>
      </c>
      <c r="X68" s="111">
        <f>(X67-X55)/X56</f>
        <v>0.09939754905882517</v>
      </c>
      <c r="Y68" s="111">
        <f>(Y67-Y55)/Y56</f>
        <v>0.09939754905882517</v>
      </c>
      <c r="Z68" s="111">
        <f>(Z67-Z55)/Z56</f>
        <v>0.09939754905882517</v>
      </c>
      <c r="AA68" s="111">
        <f>(AA67-AA55)/AA56</f>
        <v>0.09939754905882517</v>
      </c>
      <c r="AB68" s="111">
        <f>(AB67-AB55)/AB56</f>
        <v>0.09939754905882517</v>
      </c>
    </row>
    <row r="69" spans="1:28" ht="13.5" customHeight="1" hidden="1">
      <c r="A69" s="117"/>
      <c r="B69" s="131"/>
      <c r="C69" s="147"/>
      <c r="D69" s="93"/>
      <c r="E69" s="94"/>
      <c r="F69" s="94"/>
      <c r="G69" s="94"/>
      <c r="H69" s="94"/>
      <c r="I69" s="94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 customHeight="1" hidden="1">
      <c r="A70" s="117"/>
      <c r="B70" s="131"/>
      <c r="C70" s="145" t="s">
        <v>51</v>
      </c>
      <c r="D70" s="94"/>
      <c r="E70" s="94">
        <f>D66*D57*$H$2+$H$2*(D14*D61-D66*D67)</f>
        <v>49.23024619549862</v>
      </c>
      <c r="F70" s="94">
        <f>E66*E57*$H$2+$H$2*(E14*E61-E66*E67)</f>
        <v>49.49331142955729</v>
      </c>
      <c r="G70" s="94">
        <f>F66*F57*$H$2+$H$2*(F14*F61-F66*F67)</f>
        <v>61.938737916485316</v>
      </c>
      <c r="H70" s="94">
        <f>G66*G57*$H$2+$H$2*(G14*G61-G66*G67)</f>
        <v>62.38883411355245</v>
      </c>
      <c r="I70" s="94">
        <f>H66*H57*$H$2+$H$2*(H14*H61-H66*H67)</f>
        <v>55.55166896483493</v>
      </c>
      <c r="J70" s="94">
        <f>I66*I57*$H$2+$H$2*(I14*I61-I66*I67)</f>
        <v>50.86045234488148</v>
      </c>
      <c r="K70" s="94">
        <f>J66*J57*$H$2+$H$2*(J14*J61-J66*J67)</f>
        <v>48.648982242958596</v>
      </c>
      <c r="L70" s="94">
        <f>K66*K57*$H$2+$H$2*(K14*K61-K66*K67)</f>
        <v>43.713484945778255</v>
      </c>
      <c r="M70" s="94">
        <f>L66*L57*$H$2+$H$2*(L14*L61-L66*L67)</f>
        <v>38.59204701608861</v>
      </c>
      <c r="N70" s="94">
        <f>M66*M57*$H$2+$H$2*(M14*M61-M66*M67)</f>
        <v>30.55890503222809</v>
      </c>
      <c r="O70" s="94">
        <f>N66*N57*$H$2+$H$2*(N14*N61-N66*N67)</f>
        <v>31.17008313287264</v>
      </c>
      <c r="P70" s="94">
        <f>O66*O57*$H$2+$H$2*(O14*O61-O66*O67)</f>
        <v>31.793484795530105</v>
      </c>
      <c r="Q70" s="94">
        <f>P70*(1+$O3)</f>
        <v>32.429354491440705</v>
      </c>
      <c r="R70" s="94">
        <f>Q70*(1+$O3)</f>
        <v>33.07794158126952</v>
      </c>
      <c r="S70" s="94">
        <f>R70*(1+$O3)</f>
        <v>33.73950041289491</v>
      </c>
      <c r="T70" s="94">
        <f>S70*(1+$O3)</f>
        <v>34.41429042115281</v>
      </c>
      <c r="U70" s="94">
        <f>T70*(1+$O3)</f>
        <v>35.10257622957587</v>
      </c>
      <c r="V70" s="94">
        <f>U70*(1+$O3)</f>
        <v>35.804627754167385</v>
      </c>
      <c r="W70" s="94">
        <f>V70*(1+$O3)</f>
        <v>36.520720309250734</v>
      </c>
      <c r="X70" s="94">
        <f>W70*(1+$O3)</f>
        <v>37.25113471543575</v>
      </c>
      <c r="Y70" s="94">
        <f>X70*(1+$O3)</f>
        <v>37.99615740974446</v>
      </c>
      <c r="Z70" s="94">
        <f>Y70*(1+$O3)</f>
        <v>38.756080557939356</v>
      </c>
      <c r="AA70" s="94">
        <f>Z70*(1+$O3)</f>
        <v>39.531202169098144</v>
      </c>
      <c r="AB70" s="94">
        <f>AA70*(1+$O3)</f>
        <v>40.321826212480104</v>
      </c>
    </row>
    <row r="71" spans="1:28" ht="13.5" customHeight="1" hidden="1">
      <c r="A71" s="117"/>
      <c r="B71" s="131"/>
      <c r="C71" s="145" t="s">
        <v>47</v>
      </c>
      <c r="D71" s="68">
        <f>NPV(D57,E70:N70)</f>
        <v>321.8427452033901</v>
      </c>
      <c r="E71" s="68">
        <f>NPV(E57,F70:O70)</f>
        <v>315.14944317305543</v>
      </c>
      <c r="F71" s="68">
        <f>NPV(F57,G70:P70)</f>
        <v>307.8358403540004</v>
      </c>
      <c r="G71" s="68">
        <f>NPV(G57,H70:Q70)</f>
        <v>287.6676787854359</v>
      </c>
      <c r="H71" s="68">
        <f>NPV(H57,I70:R70)</f>
        <v>265.46294373620344</v>
      </c>
      <c r="I71" s="68">
        <f>NPV(I57,J70:S70)</f>
        <v>248.3269116634803</v>
      </c>
      <c r="J71" s="68">
        <f>NPV(J57,K70:T70)</f>
        <v>234.58544218138763</v>
      </c>
      <c r="K71" s="68">
        <f>NPV(K57,L70:U70)</f>
        <v>222.07668574866028</v>
      </c>
      <c r="L71" s="68">
        <f>NPV(L57,M70:V70)</f>
        <v>213.64378832389323</v>
      </c>
      <c r="M71" s="68">
        <f>NPV(M57,N70:W70)</f>
        <v>209.85349291438004</v>
      </c>
      <c r="N71" s="68">
        <f>NPV(N57,O70:X70)</f>
        <v>214.0505627726677</v>
      </c>
      <c r="O71" s="68">
        <f>NPV(O57,P70:Y70)</f>
        <v>218.33157402812097</v>
      </c>
      <c r="P71" s="68">
        <f>NPV(P57,Q70:Z70)</f>
        <v>222.69820550868343</v>
      </c>
      <c r="Q71" s="68">
        <f>NPV(Q57,R70:AA70)</f>
        <v>227.15216961885704</v>
      </c>
      <c r="R71" s="68">
        <f>NPV(R57,S70:AB70)</f>
        <v>231.69521301123424</v>
      </c>
      <c r="S71" s="68">
        <f>NPV(S57,T70:AC70)</f>
        <v>219.27167219537296</v>
      </c>
      <c r="T71" s="2">
        <f>NPV(T57,U70:AD70)</f>
        <v>205.03037561619445</v>
      </c>
      <c r="U71" s="2">
        <f>NPV(U57,V70:AE70)</f>
        <v>188.79059394330844</v>
      </c>
      <c r="V71" s="2">
        <f>NPV(V57,W70:AF70)</f>
        <v>170.35470083192547</v>
      </c>
      <c r="W71" s="2">
        <f>NPV(W57,X70:AG70)</f>
        <v>149.50661299921188</v>
      </c>
      <c r="X71" s="2">
        <f>NPV(X57,Y70:AH70)</f>
        <v>126.01008667970366</v>
      </c>
      <c r="Y71" s="2">
        <f>NPV(Y57,Z70:AI70)</f>
        <v>99.60685724449192</v>
      </c>
      <c r="Z71" s="2">
        <f>NPV(Z57,AA70:AJ70)</f>
        <v>70.01460755304586</v>
      </c>
      <c r="AA71" s="2">
        <f>NPV(AA57,AB70:AK70)</f>
        <v>36.92474927882793</v>
      </c>
      <c r="AB71" s="2">
        <f>NPV(AB57,AC70:AL70)</f>
        <v>0</v>
      </c>
    </row>
    <row r="72" spans="1:28" ht="13.5" customHeight="1" hidden="1">
      <c r="A72" s="117"/>
      <c r="B72" s="131"/>
      <c r="C72" s="145" t="s">
        <v>45</v>
      </c>
      <c r="D72" s="68">
        <f>O70/(D57-$O$3)/(1+D57)^10</f>
        <v>179.5473834229457</v>
      </c>
      <c r="E72" s="68">
        <f>P70/(E57-$O$3)/(1+E57)^10</f>
        <v>183.1383310914047</v>
      </c>
      <c r="F72" s="68">
        <f>Q70/(F57-$O$3)/(1+F57)^10</f>
        <v>186.80109771323276</v>
      </c>
      <c r="G72" s="68">
        <f>R70/(G57-$O$3)/(1+G57)^10</f>
        <v>190.53711966749742</v>
      </c>
      <c r="H72" s="68">
        <f>S70/(H57-$O$3)/(1+H57)^10</f>
        <v>194.34786206084738</v>
      </c>
      <c r="I72" s="68">
        <f>T70/(I57-$O$3)/(1+I57)^10</f>
        <v>198.23481930206435</v>
      </c>
      <c r="J72" s="68">
        <f>U70/(J57-$O$3)/(1+J57)^10</f>
        <v>202.1995156881056</v>
      </c>
      <c r="K72" s="68">
        <f>V70/(K57-$O$3)/(1+K57)^10</f>
        <v>206.24350600186773</v>
      </c>
      <c r="L72" s="68">
        <f>W70/(L57-$O$3)/(1+L57)^10</f>
        <v>210.3683761219051</v>
      </c>
      <c r="M72" s="68">
        <f>X70/(M57-$O$3)/(1+M57)^10</f>
        <v>214.57574364434316</v>
      </c>
      <c r="N72" s="68">
        <f>Y70/(N57-$O$3)/(1+N57)^10</f>
        <v>218.86725851723006</v>
      </c>
      <c r="O72" s="68">
        <f>Z70/(O57-$O$3)/(1+O57)^10</f>
        <v>223.24460368757465</v>
      </c>
      <c r="P72" s="68">
        <f>AA70/(P57-$O$3)/(1+P57)^10</f>
        <v>227.70949576132614</v>
      </c>
      <c r="Q72" s="68">
        <f>AB70/(Q57-$O$3)/(1+Q57)^10</f>
        <v>232.26368567655268</v>
      </c>
      <c r="R72" s="68">
        <f>AC70/(R57-$O$3)/(1+R57)^10</f>
        <v>0</v>
      </c>
      <c r="S72" s="68">
        <f>AD70/(S57-$O$3)/(1+S57)^10</f>
        <v>0</v>
      </c>
      <c r="T72" s="2">
        <f>AE70/(T57-$O$3)/(1+T57)^10</f>
        <v>0</v>
      </c>
      <c r="U72" s="2">
        <f>AF70/(U57-$O$3)/(1+U57)^10</f>
        <v>0</v>
      </c>
      <c r="V72" s="2">
        <f>AG70/(V57-$O$3)/(1+V57)^10</f>
        <v>0</v>
      </c>
      <c r="W72" s="2">
        <f>AH70/(W57-$O$3)/(1+W57)^10</f>
        <v>0</v>
      </c>
      <c r="X72" s="2">
        <f>AI70/(X57-$O$3)/(1+X57)^10</f>
        <v>0</v>
      </c>
      <c r="Y72" s="2">
        <f>AJ70/(Y57-$O$3)/(1+Y57)^10</f>
        <v>0</v>
      </c>
      <c r="Z72" s="2">
        <f>AK70/(Z57-$O$3)/(1+Z57)^10</f>
        <v>0</v>
      </c>
      <c r="AA72" s="2">
        <f>AL70/(AA57-$O$3)/(1+AA57)^10</f>
        <v>0</v>
      </c>
      <c r="AB72" s="2">
        <f>AM70/(AB57-$O$3)/(1+AB57)^10</f>
        <v>0</v>
      </c>
    </row>
    <row r="73" spans="1:28" ht="13.5" customHeight="1">
      <c r="A73" s="117">
        <v>41</v>
      </c>
      <c r="B73" s="131"/>
      <c r="C73" s="194" t="s">
        <v>90</v>
      </c>
      <c r="D73" s="94">
        <f aca="true" t="shared" si="71" ref="D73:M73">D71+D72</f>
        <v>501.3901286263358</v>
      </c>
      <c r="E73" s="94">
        <f t="shared" si="71"/>
        <v>498.28777426446015</v>
      </c>
      <c r="F73" s="94">
        <f t="shared" si="71"/>
        <v>494.6369380672332</v>
      </c>
      <c r="G73" s="94">
        <f t="shared" si="71"/>
        <v>478.20479845293335</v>
      </c>
      <c r="H73" s="94">
        <f t="shared" si="71"/>
        <v>459.8108057970508</v>
      </c>
      <c r="I73" s="94">
        <f t="shared" si="71"/>
        <v>446.56173096554465</v>
      </c>
      <c r="J73" s="94">
        <f t="shared" si="71"/>
        <v>436.78495786949327</v>
      </c>
      <c r="K73" s="94">
        <f t="shared" si="71"/>
        <v>428.320191750528</v>
      </c>
      <c r="L73" s="94">
        <f t="shared" si="71"/>
        <v>424.01216444579836</v>
      </c>
      <c r="M73" s="94">
        <f t="shared" si="71"/>
        <v>424.42923655872323</v>
      </c>
      <c r="N73" s="94">
        <f aca="true" t="shared" si="72" ref="N73:AB73">N71+N72</f>
        <v>432.91782128989774</v>
      </c>
      <c r="O73" s="94">
        <f t="shared" si="72"/>
        <v>441.5761777156956</v>
      </c>
      <c r="P73" s="94">
        <f t="shared" si="72"/>
        <v>450.40770127000957</v>
      </c>
      <c r="Q73" s="94">
        <f t="shared" si="72"/>
        <v>459.41585529540976</v>
      </c>
      <c r="R73" s="94">
        <f t="shared" si="72"/>
        <v>231.69521301123424</v>
      </c>
      <c r="S73" s="94">
        <f t="shared" si="72"/>
        <v>219.27167219537296</v>
      </c>
      <c r="T73" s="40">
        <f t="shared" si="72"/>
        <v>205.03037561619445</v>
      </c>
      <c r="U73" s="40">
        <f t="shared" si="72"/>
        <v>188.79059394330844</v>
      </c>
      <c r="V73" s="40">
        <f t="shared" si="72"/>
        <v>170.35470083192547</v>
      </c>
      <c r="W73" s="40">
        <f t="shared" si="72"/>
        <v>149.50661299921188</v>
      </c>
      <c r="X73" s="40">
        <f t="shared" si="72"/>
        <v>126.01008667970366</v>
      </c>
      <c r="Y73" s="40">
        <f t="shared" si="72"/>
        <v>99.60685724449192</v>
      </c>
      <c r="Z73" s="40">
        <f t="shared" si="72"/>
        <v>70.01460755304586</v>
      </c>
      <c r="AA73" s="40">
        <f t="shared" si="72"/>
        <v>36.92474927882793</v>
      </c>
      <c r="AB73" s="40">
        <f t="shared" si="72"/>
        <v>0</v>
      </c>
    </row>
    <row r="74" spans="1:28" ht="13.5" customHeight="1">
      <c r="A74" s="117">
        <v>42</v>
      </c>
      <c r="B74" s="131"/>
      <c r="C74" s="194" t="s">
        <v>91</v>
      </c>
      <c r="D74" s="138">
        <f>D73+D60</f>
        <v>4270.445389882119</v>
      </c>
      <c r="E74" s="138">
        <f>E73+E60</f>
        <v>4427.096119555783</v>
      </c>
      <c r="F74" s="138">
        <f>F73+F60</f>
        <v>5170.895651125355</v>
      </c>
      <c r="G74" s="138">
        <f>G73+G60</f>
        <v>5427.679313112408</v>
      </c>
      <c r="H74" s="138">
        <f>H73+H60</f>
        <v>5448.636975805193</v>
      </c>
      <c r="I74" s="138">
        <f>I73+I60</f>
        <v>5511.35990861444</v>
      </c>
      <c r="J74" s="138">
        <f>J73+J60</f>
        <v>5762.544567862087</v>
      </c>
      <c r="K74" s="138">
        <f>K73+K60</f>
        <v>5906.8496858624385</v>
      </c>
      <c r="L74" s="138">
        <f>L73+L60</f>
        <v>6046.622372016004</v>
      </c>
      <c r="M74" s="138">
        <f>M73+M60</f>
        <v>6159.436703225389</v>
      </c>
      <c r="N74" s="138">
        <f>N73+N60</f>
        <v>6282.6254372898875</v>
      </c>
      <c r="O74" s="68">
        <f>O73+O60</f>
        <v>6408.2779460357</v>
      </c>
      <c r="P74" s="68">
        <f>P73+P60</f>
        <v>6536.443504956395</v>
      </c>
      <c r="Q74" s="68">
        <f>Q73+Q60</f>
        <v>459.41585529540976</v>
      </c>
      <c r="R74" s="68">
        <f>R73+R60</f>
        <v>231.69521301123424</v>
      </c>
      <c r="S74" s="68">
        <f>S73+S60</f>
        <v>219.27167219537296</v>
      </c>
      <c r="T74" s="2">
        <f>T73+T60</f>
        <v>205.03037561619445</v>
      </c>
      <c r="U74" s="2">
        <f>U73+U60</f>
        <v>188.79059394330844</v>
      </c>
      <c r="V74" s="2">
        <f>V73+V60</f>
        <v>170.35470083192547</v>
      </c>
      <c r="W74" s="2">
        <f>W73+W60</f>
        <v>149.50661299921188</v>
      </c>
      <c r="X74" s="2">
        <f>X73+X60</f>
        <v>126.01008667970366</v>
      </c>
      <c r="Y74" s="2">
        <f>Y73+Y60</f>
        <v>99.60685724449192</v>
      </c>
      <c r="Z74" s="2">
        <f>Z73+Z60</f>
        <v>70.01460755304586</v>
      </c>
      <c r="AA74" s="2">
        <f>AA73+AA60</f>
        <v>36.92474927882793</v>
      </c>
      <c r="AB74" s="2">
        <f>AB73+AB60</f>
        <v>0</v>
      </c>
    </row>
    <row r="75" spans="1:28" s="105" customFormat="1" ht="13.5" customHeight="1" thickBot="1">
      <c r="A75" s="165">
        <v>43</v>
      </c>
      <c r="B75" s="105" t="s">
        <v>52</v>
      </c>
      <c r="C75" s="167" t="s">
        <v>53</v>
      </c>
      <c r="D75" s="174">
        <f aca="true" t="shared" si="73" ref="D75:M75">D74-D66</f>
        <v>2402.7070454420345</v>
      </c>
      <c r="E75" s="174">
        <f t="shared" si="73"/>
        <v>2551.626668078872</v>
      </c>
      <c r="F75" s="174">
        <f t="shared" si="73"/>
        <v>2787.860714877759</v>
      </c>
      <c r="G75" s="174">
        <f t="shared" si="73"/>
        <v>3031.867622451651</v>
      </c>
      <c r="H75" s="174">
        <f t="shared" si="73"/>
        <v>3340.3733899821555</v>
      </c>
      <c r="I75" s="174">
        <f t="shared" si="73"/>
        <v>3594.3083027784664</v>
      </c>
      <c r="J75" s="174">
        <f t="shared" si="73"/>
        <v>3938.6590554388085</v>
      </c>
      <c r="K75" s="174">
        <f t="shared" si="73"/>
        <v>4277.329980439414</v>
      </c>
      <c r="L75" s="174">
        <f t="shared" si="73"/>
        <v>4612.898470179988</v>
      </c>
      <c r="M75" s="174">
        <f t="shared" si="73"/>
        <v>5022.450359140754</v>
      </c>
      <c r="N75" s="174">
        <f aca="true" t="shared" si="74" ref="N75:AB75">N74-N66</f>
        <v>5122.899366323561</v>
      </c>
      <c r="O75" s="106">
        <f t="shared" si="74"/>
        <v>5225.357353650046</v>
      </c>
      <c r="P75" s="106">
        <f t="shared" si="74"/>
        <v>5329.864500723029</v>
      </c>
      <c r="Q75" s="106">
        <f t="shared" si="74"/>
        <v>-623.0163047045903</v>
      </c>
      <c r="R75" s="106">
        <f t="shared" si="74"/>
        <v>-872.3855901887657</v>
      </c>
      <c r="S75" s="106">
        <f t="shared" si="74"/>
        <v>-906.890747068627</v>
      </c>
      <c r="T75" s="107">
        <f t="shared" si="74"/>
        <v>-943.6552920330856</v>
      </c>
      <c r="U75" s="107">
        <f t="shared" si="74"/>
        <v>-982.8687870589573</v>
      </c>
      <c r="V75" s="107">
        <f t="shared" si="74"/>
        <v>-1024.7378677903857</v>
      </c>
      <c r="W75" s="107">
        <f t="shared" si="74"/>
        <v>-1069.4878069955455</v>
      </c>
      <c r="X75" s="107">
        <f t="shared" si="74"/>
        <v>-1117.364221714949</v>
      </c>
      <c r="Y75" s="107">
        <f t="shared" si="74"/>
        <v>-1168.6349373180537</v>
      </c>
      <c r="Z75" s="107">
        <f t="shared" si="74"/>
        <v>-1223.5920229007509</v>
      </c>
      <c r="AA75" s="107">
        <f t="shared" si="74"/>
        <v>-1282.5540137840449</v>
      </c>
      <c r="AB75" s="107">
        <f t="shared" si="74"/>
        <v>-1345.8683383241303</v>
      </c>
    </row>
    <row r="76" spans="1:28" ht="13.5" customHeight="1">
      <c r="A76" s="117">
        <v>44</v>
      </c>
      <c r="B76" s="131"/>
      <c r="C76" s="147" t="s">
        <v>54</v>
      </c>
      <c r="D76" s="97">
        <f>D54*(D66*(1-$D1)+D84)/D84-D68*D66*(1-$D1)/D84</f>
        <v>1.0775054756129947</v>
      </c>
      <c r="E76" s="97">
        <f>E54*(E66*(1-$D1)+E84)/E84-E68*E66*(1-$D1)/E84</f>
        <v>1.0673235242146162</v>
      </c>
      <c r="F76" s="97">
        <f>F54*(F66*(1-$D1)+F84)/F84-F68*F66*(1-$D1)/F84</f>
        <v>1.0853776162067676</v>
      </c>
      <c r="G76" s="97">
        <f>G54*(G66*(1-$D1)+G84)/G84-G68*G66*(1-$D1)/G84</f>
        <v>1.0710700990168314</v>
      </c>
      <c r="H76" s="97">
        <f>H54*(H66*(1-$D1)+H84)/H84-H68*H66*(1-$D1)/H84</f>
        <v>1.036654388793622</v>
      </c>
      <c r="I76" s="97">
        <f>I54*(I66*(1-$D1)+I84)/I84-I68*I66*(1-$D1)/I84</f>
        <v>1.0119628189738639</v>
      </c>
      <c r="J76" s="97">
        <f>J54*(J66*(1-$D1)+J84)/J84-J68*J66*(1-$D1)/J84</f>
        <v>0.9917803208843028</v>
      </c>
      <c r="K76" s="97">
        <f>K54*(K66*(1-$D1)+K84)/K84-K68*K66*(1-$D1)/K84</f>
        <v>0.9665649579905785</v>
      </c>
      <c r="L76" s="97">
        <f>L54*(L66*(1-$D1)+L84)/L84-L68*L66*(1-$D1)/L84</f>
        <v>0.9427958466598265</v>
      </c>
      <c r="M76" s="97">
        <f>M54*(M66*(1-$D1)+M84)/M84-M68*M66*(1-$D1)/M84</f>
        <v>0.9110220616778849</v>
      </c>
      <c r="N76" s="97">
        <f>N54*(N66*(1-$D1)+N84)/N84-N68*N66*(1-$D1)/N84</f>
        <v>0.9110220616778847</v>
      </c>
      <c r="O76" s="97">
        <f>O54*(O66*(1-$D1)+O84)/O84-O68*O66*(1-$D1)/O84</f>
        <v>0.9110220616778848</v>
      </c>
      <c r="P76" s="97">
        <f>P54*(P66*(1-$D1)+P84)/P84-P68*P66*(1-$D1)/P84</f>
        <v>0.9110220616778849</v>
      </c>
      <c r="Q76" s="97">
        <f>Q54*(Q66*(1-$D1)+Q84)/Q84-Q68*Q66*(1-$D1)/Q84</f>
        <v>0.8976459060000993</v>
      </c>
      <c r="R76" s="97">
        <f>R54*(R66*(1-$D1)+R84)/R84-R68*R66*(1-$D1)/R84</f>
        <v>0.8976459060000994</v>
      </c>
      <c r="S76" s="98">
        <f>S54*(S66*(1-$D1)+S84)/S84-S68*S66*(1-$D1)/S84</f>
        <v>0.8976459060000993</v>
      </c>
      <c r="T76" s="11">
        <f>T54*(T66*(1-$D1)+T84)/T84-T68*T66*(1-$D1)/T84</f>
        <v>0.8976459060000994</v>
      </c>
      <c r="U76" s="11">
        <f>U54*(U66*(1-$D1)+U84)/U84-U68*U66*(1-$D1)/U84</f>
        <v>0.8976459060000994</v>
      </c>
      <c r="V76" s="11">
        <f>V54*(V66*(1-$D1)+V84)/V84-V68*V66*(1-$D1)/V84</f>
        <v>0.8976459060000994</v>
      </c>
      <c r="W76" s="11">
        <f>W54*(W66*(1-$D1)+W84)/W84-W68*W66*(1-$D1)/W84</f>
        <v>0.8976459060000994</v>
      </c>
      <c r="X76" s="11">
        <f>X54*(X66*(1-$D1)+X84)/X84-X68*X66*(1-$D1)/X84</f>
        <v>0.8976459060000995</v>
      </c>
      <c r="Y76" s="11">
        <f>Y54*(Y66*(1-$D1)+Y84)/Y84-Y68*Y66*(1-$D1)/Y84</f>
        <v>0.8976459060000995</v>
      </c>
      <c r="Z76" s="11">
        <f>Z54*(Z66*(1-$D1)+Z84)/Z84-Z68*Z66*(1-$D1)/Z84</f>
        <v>0.8976459060000994</v>
      </c>
      <c r="AA76" s="11">
        <f>AA54*(AA66*(1-$D1)+AA84)/AA84-AA68*AA66*(1-$D1)/AA84</f>
        <v>0.8976459060000995</v>
      </c>
      <c r="AB76" s="11">
        <f>AB54*(AB66*(1-$D1)+AB84)/AB84-AB68*AB66*(1-$D1)/AB84</f>
        <v>0.8976459060000994</v>
      </c>
    </row>
    <row r="77" spans="1:28" s="7" customFormat="1" ht="13.5" customHeight="1">
      <c r="A77" s="117">
        <v>45</v>
      </c>
      <c r="B77" s="163"/>
      <c r="C77" s="164" t="s">
        <v>55</v>
      </c>
      <c r="D77" s="91">
        <f>D55+D56*D76</f>
        <v>0.1031002190245198</v>
      </c>
      <c r="E77" s="91">
        <f>E55+E56*E76</f>
        <v>0.10269294096858464</v>
      </c>
      <c r="F77" s="91">
        <f>F55+F56*F76</f>
        <v>0.1034151046482707</v>
      </c>
      <c r="G77" s="91">
        <f>G55+G56*G76</f>
        <v>0.10284280396067325</v>
      </c>
      <c r="H77" s="91">
        <f>H55+H56*H76</f>
        <v>0.10146617555174488</v>
      </c>
      <c r="I77" s="91">
        <f>I55+I56*I76</f>
        <v>0.10047851275895456</v>
      </c>
      <c r="J77" s="91">
        <f>J55+J56*J76</f>
        <v>0.09967121283537211</v>
      </c>
      <c r="K77" s="91">
        <f>K55+K56*K76</f>
        <v>0.09866259831962314</v>
      </c>
      <c r="L77" s="91">
        <f>L55+L56*L76</f>
        <v>0.09771183386639307</v>
      </c>
      <c r="M77" s="91">
        <f>M55+M56*M76</f>
        <v>0.0964408824671154</v>
      </c>
      <c r="N77" s="91">
        <f>N55+N56*N76</f>
        <v>0.09644088246711538</v>
      </c>
      <c r="O77" s="91">
        <f>O55+O56*O76</f>
        <v>0.0964408824671154</v>
      </c>
      <c r="P77" s="91">
        <f>O77</f>
        <v>0.0964408824671154</v>
      </c>
      <c r="Q77" s="91">
        <f aca="true" t="shared" si="75" ref="Q77:AB77">P77</f>
        <v>0.0964408824671154</v>
      </c>
      <c r="R77" s="91">
        <f t="shared" si="75"/>
        <v>0.0964408824671154</v>
      </c>
      <c r="S77" s="91">
        <f t="shared" si="75"/>
        <v>0.0964408824671154</v>
      </c>
      <c r="T77" s="91">
        <f t="shared" si="75"/>
        <v>0.0964408824671154</v>
      </c>
      <c r="U77" s="91">
        <f t="shared" si="75"/>
        <v>0.0964408824671154</v>
      </c>
      <c r="V77" s="91">
        <f t="shared" si="75"/>
        <v>0.0964408824671154</v>
      </c>
      <c r="W77" s="91">
        <f t="shared" si="75"/>
        <v>0.0964408824671154</v>
      </c>
      <c r="X77" s="91">
        <f t="shared" si="75"/>
        <v>0.0964408824671154</v>
      </c>
      <c r="Y77" s="91">
        <f t="shared" si="75"/>
        <v>0.0964408824671154</v>
      </c>
      <c r="Z77" s="91">
        <f t="shared" si="75"/>
        <v>0.0964408824671154</v>
      </c>
      <c r="AA77" s="91">
        <f t="shared" si="75"/>
        <v>0.0964408824671154</v>
      </c>
      <c r="AB77" s="91">
        <f t="shared" si="75"/>
        <v>0.0964408824671154</v>
      </c>
    </row>
    <row r="78" spans="1:28" ht="13.5" customHeight="1" hidden="1">
      <c r="A78" s="117"/>
      <c r="B78" s="131"/>
      <c r="C78" s="145" t="s">
        <v>56</v>
      </c>
      <c r="D78" s="98">
        <v>1</v>
      </c>
      <c r="E78" s="98">
        <f>1/(1+D77)</f>
        <v>0.9065359454685884</v>
      </c>
      <c r="F78" s="99">
        <f aca="true" t="shared" si="76" ref="F78:O78">E78/(1+E77)</f>
        <v>0.8221109538184804</v>
      </c>
      <c r="G78" s="99">
        <f t="shared" si="76"/>
        <v>0.7450604494675103</v>
      </c>
      <c r="H78" s="99">
        <f t="shared" si="76"/>
        <v>0.6755817300450724</v>
      </c>
      <c r="I78" s="99">
        <f t="shared" si="76"/>
        <v>0.6133476860573235</v>
      </c>
      <c r="J78" s="99">
        <f t="shared" si="76"/>
        <v>0.5573463533782502</v>
      </c>
      <c r="K78" s="99">
        <f t="shared" si="76"/>
        <v>0.5068299932497083</v>
      </c>
      <c r="L78" s="99">
        <f t="shared" si="76"/>
        <v>0.4613154156925812</v>
      </c>
      <c r="M78" s="99">
        <f t="shared" si="76"/>
        <v>0.42025183792336684</v>
      </c>
      <c r="N78" s="99">
        <f t="shared" si="76"/>
        <v>0.38328727489415837</v>
      </c>
      <c r="O78" s="99">
        <f t="shared" si="76"/>
        <v>0.3495740454621856</v>
      </c>
      <c r="P78" s="99">
        <f aca="true" t="shared" si="77" ref="P78:AB78">O78/(1+O77)</f>
        <v>0.31882616842561057</v>
      </c>
      <c r="Q78" s="99">
        <f t="shared" si="77"/>
        <v>0.29078281695244323</v>
      </c>
      <c r="R78" s="99">
        <f t="shared" si="77"/>
        <v>0.26520610604937417</v>
      </c>
      <c r="S78" s="99">
        <f t="shared" si="77"/>
        <v>0.24187907464069613</v>
      </c>
      <c r="T78" s="42">
        <f t="shared" si="77"/>
        <v>0.22060384513977715</v>
      </c>
      <c r="U78" s="42">
        <f t="shared" si="77"/>
        <v>0.20119994490117302</v>
      </c>
      <c r="V78" s="42">
        <f t="shared" si="77"/>
        <v>0.1835027753146622</v>
      </c>
      <c r="W78" s="42">
        <f t="shared" si="77"/>
        <v>0.1673622155548964</v>
      </c>
      <c r="X78" s="42">
        <f t="shared" si="77"/>
        <v>0.15264134914261182</v>
      </c>
      <c r="Y78" s="42">
        <f t="shared" si="77"/>
        <v>0.13921530251512657</v>
      </c>
      <c r="Z78" s="42">
        <f t="shared" si="77"/>
        <v>0.1269701857539975</v>
      </c>
      <c r="AA78" s="42">
        <f t="shared" si="77"/>
        <v>0.11580212648428456</v>
      </c>
      <c r="AB78" s="42">
        <f t="shared" si="77"/>
        <v>0.10561638875022313</v>
      </c>
    </row>
    <row r="79" spans="1:28" ht="13.5" customHeight="1" hidden="1">
      <c r="A79" s="120">
        <v>27</v>
      </c>
      <c r="B79" s="39"/>
      <c r="C79" s="149" t="s">
        <v>57</v>
      </c>
      <c r="D79" s="100"/>
      <c r="E79" s="100">
        <f aca="true" t="shared" si="78" ref="E79:AB79">E38</f>
        <v>98.79999999999984</v>
      </c>
      <c r="F79" s="100">
        <f t="shared" si="78"/>
        <v>25.79999999999984</v>
      </c>
      <c r="G79" s="100">
        <f t="shared" si="78"/>
        <v>44.29999999999984</v>
      </c>
      <c r="H79" s="100">
        <f t="shared" si="78"/>
        <v>3.2999999999999545</v>
      </c>
      <c r="I79" s="100">
        <f t="shared" si="78"/>
        <v>85</v>
      </c>
      <c r="J79" s="100">
        <f t="shared" si="78"/>
        <v>16.799999999999955</v>
      </c>
      <c r="K79" s="100">
        <f t="shared" si="78"/>
        <v>53.89999999999998</v>
      </c>
      <c r="L79" s="100">
        <f t="shared" si="78"/>
        <v>86.44400000000019</v>
      </c>
      <c r="M79" s="100">
        <f t="shared" si="78"/>
        <v>41.182879999999386</v>
      </c>
      <c r="N79" s="100">
        <f t="shared" si="78"/>
        <v>383.92053760000135</v>
      </c>
      <c r="O79" s="100">
        <f t="shared" si="78"/>
        <v>391.5989483519993</v>
      </c>
      <c r="P79" s="100">
        <f t="shared" si="78"/>
        <v>399.43092731904017</v>
      </c>
      <c r="Q79" s="100">
        <f t="shared" si="78"/>
        <v>407.41954586542056</v>
      </c>
      <c r="R79" s="100">
        <f t="shared" si="78"/>
        <v>415.5679367827297</v>
      </c>
      <c r="S79" s="100">
        <f t="shared" si="78"/>
        <v>423.87929551838374</v>
      </c>
      <c r="T79" s="39">
        <f t="shared" si="78"/>
        <v>432.3568814287521</v>
      </c>
      <c r="U79" s="39">
        <f t="shared" si="78"/>
        <v>441.00401905732724</v>
      </c>
      <c r="V79" s="39">
        <f t="shared" si="78"/>
        <v>449.824099438473</v>
      </c>
      <c r="W79" s="39">
        <f t="shared" si="78"/>
        <v>458.8205814272428</v>
      </c>
      <c r="X79" s="39">
        <f t="shared" si="78"/>
        <v>467.99699305578747</v>
      </c>
      <c r="Y79" s="39">
        <f t="shared" si="78"/>
        <v>477.356932916902</v>
      </c>
      <c r="Z79" s="39">
        <f t="shared" si="78"/>
        <v>486.90407157524237</v>
      </c>
      <c r="AA79" s="39">
        <f t="shared" si="78"/>
        <v>496.6421530067439</v>
      </c>
      <c r="AB79" s="39">
        <f t="shared" si="78"/>
        <v>506.5749960668793</v>
      </c>
    </row>
    <row r="80" spans="1:28" ht="13.5" customHeight="1" hidden="1">
      <c r="A80" s="117"/>
      <c r="B80" s="131"/>
      <c r="C80" s="145" t="s">
        <v>58</v>
      </c>
      <c r="D80" s="68"/>
      <c r="E80" s="68">
        <f aca="true" t="shared" si="79" ref="E80:N80">E79*E78</f>
        <v>89.5657514122964</v>
      </c>
      <c r="F80" s="68">
        <f t="shared" si="79"/>
        <v>21.210462608516664</v>
      </c>
      <c r="G80" s="68">
        <f t="shared" si="79"/>
        <v>33.00617791141059</v>
      </c>
      <c r="H80" s="68">
        <f t="shared" si="79"/>
        <v>2.2294197091487082</v>
      </c>
      <c r="I80" s="68">
        <f t="shared" si="79"/>
        <v>52.1345533148725</v>
      </c>
      <c r="J80" s="68">
        <f t="shared" si="79"/>
        <v>9.363418736754578</v>
      </c>
      <c r="K80" s="68">
        <f t="shared" si="79"/>
        <v>27.318136636159267</v>
      </c>
      <c r="L80" s="68">
        <f t="shared" si="79"/>
        <v>39.87794979412958</v>
      </c>
      <c r="M80" s="68">
        <f t="shared" si="79"/>
        <v>17.307181010977207</v>
      </c>
      <c r="N80" s="68">
        <f t="shared" si="79"/>
        <v>147.1518566326048</v>
      </c>
      <c r="O80" s="68">
        <f aca="true" t="shared" si="80" ref="O80:AB80">O79*O78</f>
        <v>136.89282857414588</v>
      </c>
      <c r="P80" s="68">
        <f t="shared" si="80"/>
        <v>127.34903210781812</v>
      </c>
      <c r="Q80" s="68">
        <f t="shared" si="80"/>
        <v>118.47060322823214</v>
      </c>
      <c r="R80" s="68">
        <f t="shared" si="80"/>
        <v>110.21115431312023</v>
      </c>
      <c r="S80" s="68">
        <f t="shared" si="80"/>
        <v>102.52753175933684</v>
      </c>
      <c r="T80" s="2">
        <f t="shared" si="80"/>
        <v>95.37959051582543</v>
      </c>
      <c r="U80" s="2">
        <f t="shared" si="80"/>
        <v>88.72998433553009</v>
      </c>
      <c r="V80" s="2">
        <f t="shared" si="80"/>
        <v>82.54397065037838</v>
      </c>
      <c r="W80" s="2">
        <f t="shared" si="80"/>
        <v>76.7892290498491</v>
      </c>
      <c r="X80" s="2">
        <f t="shared" si="80"/>
        <v>71.43569241472093</v>
      </c>
      <c r="Y80" s="2">
        <f t="shared" si="80"/>
        <v>66.45538982371949</v>
      </c>
      <c r="Z80" s="2">
        <f t="shared" si="80"/>
        <v>61.82230041228621</v>
      </c>
      <c r="AA80" s="2">
        <f t="shared" si="80"/>
        <v>57.512217419914364</v>
      </c>
      <c r="AB80" s="2">
        <f t="shared" si="80"/>
        <v>53.50262171574227</v>
      </c>
    </row>
    <row r="81" spans="1:28" ht="13.5" customHeight="1" hidden="1">
      <c r="A81" s="117"/>
      <c r="B81" s="131"/>
      <c r="C81" s="145" t="s">
        <v>47</v>
      </c>
      <c r="D81" s="68">
        <f>SUM(E80:N80)</f>
        <v>439.1649077668703</v>
      </c>
      <c r="E81" s="68">
        <f aca="true" t="shared" si="81" ref="E81:N81">SUM(F80:O80)/E78</f>
        <v>536.6494151285442</v>
      </c>
      <c r="F81" s="68">
        <f t="shared" si="81"/>
        <v>720.8644425371228</v>
      </c>
      <c r="G81" s="68">
        <f t="shared" si="81"/>
        <v>910.120756281551</v>
      </c>
      <c r="H81" s="68">
        <f t="shared" si="81"/>
        <v>1163.5553174245404</v>
      </c>
      <c r="I81" s="68">
        <f t="shared" si="81"/>
        <v>1363.7773677279386</v>
      </c>
      <c r="J81" s="68">
        <f t="shared" si="81"/>
        <v>1655.1393204259339</v>
      </c>
      <c r="K81" s="68">
        <f t="shared" si="81"/>
        <v>1941.2775987528564</v>
      </c>
      <c r="L81" s="68">
        <f t="shared" si="81"/>
        <v>2225.296832074797</v>
      </c>
      <c r="M81" s="68">
        <f t="shared" si="81"/>
        <v>2584.2737215223838</v>
      </c>
      <c r="N81" s="68">
        <f t="shared" si="81"/>
        <v>2635.9591959528298</v>
      </c>
      <c r="O81" s="68">
        <f aca="true" t="shared" si="82" ref="O81:AB81">SUM(P80:Y80)/O78</f>
        <v>2688.678379871887</v>
      </c>
      <c r="P81" s="68">
        <f t="shared" si="82"/>
        <v>2742.451947469326</v>
      </c>
      <c r="Q81" s="68">
        <f t="shared" si="82"/>
        <v>2797.3009864187115</v>
      </c>
      <c r="R81" s="68">
        <f t="shared" si="82"/>
        <v>2853.2470061470854</v>
      </c>
      <c r="S81" s="68">
        <f t="shared" si="82"/>
        <v>2704.537369798181</v>
      </c>
      <c r="T81" s="2">
        <f t="shared" si="82"/>
        <v>2533.008458978057</v>
      </c>
      <c r="U81" s="2">
        <f t="shared" si="82"/>
        <v>2336.290011001242</v>
      </c>
      <c r="V81" s="2">
        <f t="shared" si="82"/>
        <v>2111.7797819228354</v>
      </c>
      <c r="W81" s="2">
        <f t="shared" si="82"/>
        <v>1856.6211062404436</v>
      </c>
      <c r="X81" s="2">
        <f t="shared" si="82"/>
        <v>1567.6782910775562</v>
      </c>
      <c r="Y81" s="2">
        <f t="shared" si="82"/>
        <v>1241.5096359767138</v>
      </c>
      <c r="Z81" s="2">
        <f t="shared" si="82"/>
        <v>874.3378492864928</v>
      </c>
      <c r="AA81" s="2">
        <f t="shared" si="82"/>
        <v>462.0176100393379</v>
      </c>
      <c r="AB81" s="2">
        <f t="shared" si="82"/>
        <v>0</v>
      </c>
    </row>
    <row r="82" spans="1:28" ht="13.5" customHeight="1" hidden="1">
      <c r="A82" s="117"/>
      <c r="B82" s="131"/>
      <c r="C82" s="145" t="s">
        <v>45</v>
      </c>
      <c r="D82" s="68">
        <f>O79/(O77-$O$3)*N78</f>
        <v>1963.5421376751685</v>
      </c>
      <c r="E82" s="68">
        <f aca="true" t="shared" si="83" ref="E82:N82">P79/(P77-$O$3)*O78/E78</f>
        <v>2014.9772529503302</v>
      </c>
      <c r="F82" s="68">
        <f t="shared" si="83"/>
        <v>2066.9962723406393</v>
      </c>
      <c r="G82" s="68">
        <f t="shared" si="83"/>
        <v>2121.746866170102</v>
      </c>
      <c r="H82" s="68">
        <f t="shared" si="83"/>
        <v>2176.818072557617</v>
      </c>
      <c r="I82" s="68">
        <f t="shared" si="83"/>
        <v>2230.530935050529</v>
      </c>
      <c r="J82" s="68">
        <f t="shared" si="83"/>
        <v>2283.5197350128765</v>
      </c>
      <c r="K82" s="68">
        <f t="shared" si="83"/>
        <v>2336.0523816865566</v>
      </c>
      <c r="L82" s="68">
        <f t="shared" si="83"/>
        <v>2387.601638105193</v>
      </c>
      <c r="M82" s="68">
        <f t="shared" si="83"/>
        <v>2438.176637618372</v>
      </c>
      <c r="N82" s="68">
        <f t="shared" si="83"/>
        <v>2486.9401703707326</v>
      </c>
      <c r="O82" s="68">
        <f aca="true" t="shared" si="84" ref="O82:AB82">Z79/(Z77-$O$3)*Y78/O78</f>
        <v>2536.6789737781596</v>
      </c>
      <c r="P82" s="68">
        <f t="shared" si="84"/>
        <v>2587.4125532537055</v>
      </c>
      <c r="Q82" s="68">
        <f t="shared" si="84"/>
        <v>2639.1608043187825</v>
      </c>
      <c r="R82" s="68">
        <f t="shared" si="84"/>
        <v>0</v>
      </c>
      <c r="S82" s="68">
        <f t="shared" si="84"/>
        <v>0</v>
      </c>
      <c r="T82" s="2">
        <f t="shared" si="84"/>
        <v>0</v>
      </c>
      <c r="U82" s="2">
        <f t="shared" si="84"/>
        <v>0</v>
      </c>
      <c r="V82" s="2">
        <f t="shared" si="84"/>
        <v>0</v>
      </c>
      <c r="W82" s="2">
        <f t="shared" si="84"/>
        <v>0</v>
      </c>
      <c r="X82" s="2">
        <f t="shared" si="84"/>
        <v>0</v>
      </c>
      <c r="Y82" s="2">
        <f t="shared" si="84"/>
        <v>0</v>
      </c>
      <c r="Z82" s="2">
        <f t="shared" si="84"/>
        <v>0</v>
      </c>
      <c r="AA82" s="2">
        <f t="shared" si="84"/>
        <v>0</v>
      </c>
      <c r="AB82" s="2">
        <f t="shared" si="84"/>
        <v>0</v>
      </c>
    </row>
    <row r="83" spans="1:28" s="105" customFormat="1" ht="13.5" customHeight="1" thickBot="1">
      <c r="A83" s="165">
        <v>46</v>
      </c>
      <c r="C83" s="168" t="s">
        <v>59</v>
      </c>
      <c r="D83" s="174">
        <f>D81+D82</f>
        <v>2402.7070454420386</v>
      </c>
      <c r="E83" s="174">
        <f aca="true" t="shared" si="85" ref="E83:M83">E81+E82</f>
        <v>2551.6266680788744</v>
      </c>
      <c r="F83" s="174">
        <f t="shared" si="85"/>
        <v>2787.860714877762</v>
      </c>
      <c r="G83" s="174">
        <f t="shared" si="85"/>
        <v>3031.867622451653</v>
      </c>
      <c r="H83" s="174">
        <f t="shared" si="85"/>
        <v>3340.3733899821573</v>
      </c>
      <c r="I83" s="174">
        <f t="shared" si="85"/>
        <v>3594.308302778468</v>
      </c>
      <c r="J83" s="174">
        <f t="shared" si="85"/>
        <v>3938.6590554388104</v>
      </c>
      <c r="K83" s="174">
        <f t="shared" si="85"/>
        <v>4277.329980439413</v>
      </c>
      <c r="L83" s="174">
        <f t="shared" si="85"/>
        <v>4612.89847017999</v>
      </c>
      <c r="M83" s="174">
        <f t="shared" si="85"/>
        <v>5022.450359140756</v>
      </c>
      <c r="N83" s="174">
        <f aca="true" t="shared" si="86" ref="N83:AB83">N81+N82</f>
        <v>5122.899366323562</v>
      </c>
      <c r="O83" s="106">
        <f t="shared" si="86"/>
        <v>5225.357353650046</v>
      </c>
      <c r="P83" s="106">
        <f t="shared" si="86"/>
        <v>5329.864500723032</v>
      </c>
      <c r="Q83" s="106">
        <f t="shared" si="86"/>
        <v>5436.461790737494</v>
      </c>
      <c r="R83" s="106">
        <f t="shared" si="86"/>
        <v>2853.2470061470854</v>
      </c>
      <c r="S83" s="106">
        <f t="shared" si="86"/>
        <v>2704.537369798181</v>
      </c>
      <c r="T83" s="107">
        <f t="shared" si="86"/>
        <v>2533.008458978057</v>
      </c>
      <c r="U83" s="107">
        <f t="shared" si="86"/>
        <v>2336.290011001242</v>
      </c>
      <c r="V83" s="107">
        <f t="shared" si="86"/>
        <v>2111.7797819228354</v>
      </c>
      <c r="W83" s="107">
        <f t="shared" si="86"/>
        <v>1856.6211062404436</v>
      </c>
      <c r="X83" s="107">
        <f t="shared" si="86"/>
        <v>1567.6782910775562</v>
      </c>
      <c r="Y83" s="107">
        <f t="shared" si="86"/>
        <v>1241.5096359767138</v>
      </c>
      <c r="Z83" s="107">
        <f t="shared" si="86"/>
        <v>874.3378492864928</v>
      </c>
      <c r="AA83" s="107">
        <f t="shared" si="86"/>
        <v>462.0176100393379</v>
      </c>
      <c r="AB83" s="107">
        <f t="shared" si="86"/>
        <v>0</v>
      </c>
    </row>
    <row r="84" spans="1:28" ht="13.5" customHeight="1">
      <c r="A84" s="170">
        <v>47</v>
      </c>
      <c r="B84" s="171"/>
      <c r="C84" s="169" t="s">
        <v>60</v>
      </c>
      <c r="D84" s="101">
        <f>D83</f>
        <v>2402.7070454420386</v>
      </c>
      <c r="E84" s="101">
        <f aca="true" t="shared" si="87" ref="E84:N84">D84*(1+D77)-E79</f>
        <v>2551.62666807887</v>
      </c>
      <c r="F84" s="101">
        <f t="shared" si="87"/>
        <v>2787.8607148777596</v>
      </c>
      <c r="G84" s="101">
        <f t="shared" si="87"/>
        <v>3031.867622451646</v>
      </c>
      <c r="H84" s="101">
        <f t="shared" si="87"/>
        <v>3340.3733899821536</v>
      </c>
      <c r="I84" s="101">
        <f t="shared" si="87"/>
        <v>3594.3083027784605</v>
      </c>
      <c r="J84" s="101">
        <f t="shared" si="87"/>
        <v>3938.659055438802</v>
      </c>
      <c r="K84" s="101">
        <f t="shared" si="87"/>
        <v>4277.329980439409</v>
      </c>
      <c r="L84" s="101">
        <f t="shared" si="87"/>
        <v>4612.898470179984</v>
      </c>
      <c r="M84" s="101">
        <f t="shared" si="87"/>
        <v>5022.45035914075</v>
      </c>
      <c r="N84" s="101">
        <f t="shared" si="87"/>
        <v>5122.899366323563</v>
      </c>
      <c r="O84" s="69">
        <f aca="true" t="shared" si="88" ref="O84:AB84">N84*(1+N77)-O79</f>
        <v>5225.357353650035</v>
      </c>
      <c r="P84" s="69">
        <f t="shared" si="88"/>
        <v>5329.864500723035</v>
      </c>
      <c r="Q84" s="69">
        <f t="shared" si="88"/>
        <v>5436.461790737496</v>
      </c>
      <c r="R84" s="69">
        <f t="shared" si="88"/>
        <v>5545.191026552245</v>
      </c>
      <c r="S84" s="69">
        <f t="shared" si="88"/>
        <v>5656.094847083289</v>
      </c>
      <c r="T84" s="62">
        <f t="shared" si="88"/>
        <v>5769.216744024954</v>
      </c>
      <c r="U84" s="62">
        <f t="shared" si="88"/>
        <v>5884.601078905452</v>
      </c>
      <c r="V84" s="62">
        <f t="shared" si="88"/>
        <v>6002.29310048356</v>
      </c>
      <c r="W84" s="62">
        <f t="shared" si="88"/>
        <v>6122.33896249323</v>
      </c>
      <c r="X84" s="62">
        <f t="shared" si="88"/>
        <v>6244.785741743093</v>
      </c>
      <c r="Y84" s="62">
        <f t="shared" si="88"/>
        <v>6369.681456577955</v>
      </c>
      <c r="Z84" s="62">
        <f t="shared" si="88"/>
        <v>6497.075085709512</v>
      </c>
      <c r="AA84" s="62">
        <f t="shared" si="88"/>
        <v>6627.016587423704</v>
      </c>
      <c r="AB84" s="62">
        <f t="shared" si="88"/>
        <v>6759.556919172179</v>
      </c>
    </row>
    <row r="85" spans="1:28" s="7" customFormat="1" ht="13.5" customHeight="1">
      <c r="A85" s="117">
        <v>48</v>
      </c>
      <c r="B85" s="163"/>
      <c r="C85" s="164" t="s">
        <v>61</v>
      </c>
      <c r="D85" s="91">
        <f>(D84*D77+D66*D67-D65*D61*$D1)/(D84+D66)</f>
        <v>0.0804718708001421</v>
      </c>
      <c r="E85" s="91">
        <f>(E84*E77+E66*E67-E65*E61*$D1)/(E84+E66)</f>
        <v>0.0808203666482571</v>
      </c>
      <c r="F85" s="91">
        <f>(F84*F77+F66*F67-F65*F61*$D1)/(F84+F66)</f>
        <v>0.08002166160459931</v>
      </c>
      <c r="G85" s="91">
        <f>(G84*G77+G66*G67-G65*G61*$D1)/(G84+G66)</f>
        <v>0.08050543104806669</v>
      </c>
      <c r="H85" s="91">
        <f>(H84*H77+H66*H67-H65*H61*$D1)/(H84+H66)</f>
        <v>0.08180448335767028</v>
      </c>
      <c r="I85" s="91">
        <f>(I84*I77+I66*I67-I65*I61*$D1)/(I84+I66)</f>
        <v>0.08277170549769668</v>
      </c>
      <c r="J85" s="91">
        <f>(J84*J77+J66*J67-J65*J61*$D1)/(J84+J66)</f>
        <v>0.08355772564185</v>
      </c>
      <c r="K85" s="91">
        <f>(K84*K77+K66*K67-K65*K61*$D1)/(K84+K66)</f>
        <v>0.08459952643616393</v>
      </c>
      <c r="L85" s="91">
        <f>(L84*L77+L66*L67-L65*L61*$D1)/(L84+L66)</f>
        <v>0.0856175860436243</v>
      </c>
      <c r="M85" s="91">
        <f>(M84*M77+M66*M67-M65*M61*$D1)/(M84+M66)</f>
        <v>0.08703868510959356</v>
      </c>
      <c r="N85" s="91">
        <f>(N84*N77+N66*N67-N65*N61*$D1)/(N84+N66)</f>
        <v>0.08703868510959356</v>
      </c>
      <c r="O85" s="91">
        <f>(O84*O77+O66*O67-O65*O61*$D1)/(O84+O66)</f>
        <v>0.08703868510959356</v>
      </c>
      <c r="P85" s="91">
        <f>O85</f>
        <v>0.08703868510959356</v>
      </c>
      <c r="Q85" s="91">
        <f aca="true" t="shared" si="89" ref="Q85:AB85">P85</f>
        <v>0.08703868510959356</v>
      </c>
      <c r="R85" s="91">
        <f t="shared" si="89"/>
        <v>0.08703868510959356</v>
      </c>
      <c r="S85" s="91">
        <f t="shared" si="89"/>
        <v>0.08703868510959356</v>
      </c>
      <c r="T85" s="91">
        <f t="shared" si="89"/>
        <v>0.08703868510959356</v>
      </c>
      <c r="U85" s="91">
        <f t="shared" si="89"/>
        <v>0.08703868510959356</v>
      </c>
      <c r="V85" s="91">
        <f t="shared" si="89"/>
        <v>0.08703868510959356</v>
      </c>
      <c r="W85" s="91">
        <f t="shared" si="89"/>
        <v>0.08703868510959356</v>
      </c>
      <c r="X85" s="91">
        <f t="shared" si="89"/>
        <v>0.08703868510959356</v>
      </c>
      <c r="Y85" s="91">
        <f t="shared" si="89"/>
        <v>0.08703868510959356</v>
      </c>
      <c r="Z85" s="91">
        <f t="shared" si="89"/>
        <v>0.08703868510959356</v>
      </c>
      <c r="AA85" s="91">
        <f t="shared" si="89"/>
        <v>0.08703868510959356</v>
      </c>
      <c r="AB85" s="91">
        <f t="shared" si="89"/>
        <v>0.08703868510959356</v>
      </c>
    </row>
    <row r="86" spans="1:28" ht="13.5" customHeight="1" hidden="1">
      <c r="A86" s="117"/>
      <c r="B86" s="131"/>
      <c r="C86" s="145" t="s">
        <v>62</v>
      </c>
      <c r="D86" s="98">
        <v>1</v>
      </c>
      <c r="E86" s="98">
        <f>1/(1+D85)</f>
        <v>0.9255215494499187</v>
      </c>
      <c r="F86" s="98">
        <f aca="true" t="shared" si="90" ref="F86:O86">E86/(1+E85)</f>
        <v>0.8563139426397587</v>
      </c>
      <c r="G86" s="98">
        <f t="shared" si="90"/>
        <v>0.7928673776482634</v>
      </c>
      <c r="H86" s="98">
        <f t="shared" si="90"/>
        <v>0.7337930517195081</v>
      </c>
      <c r="I86" s="98">
        <f t="shared" si="90"/>
        <v>0.6783046872222092</v>
      </c>
      <c r="J86" s="98">
        <f t="shared" si="90"/>
        <v>0.6264521724922855</v>
      </c>
      <c r="K86" s="98">
        <f t="shared" si="90"/>
        <v>0.5781437921281064</v>
      </c>
      <c r="L86" s="98">
        <f t="shared" si="90"/>
        <v>0.5330481694269246</v>
      </c>
      <c r="M86" s="98">
        <f t="shared" si="90"/>
        <v>0.49100915117775606</v>
      </c>
      <c r="N86" s="98">
        <f t="shared" si="90"/>
        <v>0.45169427537737833</v>
      </c>
      <c r="O86" s="98">
        <f t="shared" si="90"/>
        <v>0.4155273235118023</v>
      </c>
      <c r="P86" s="98">
        <f aca="true" t="shared" si="91" ref="P86:AB86">O86/(1+O85)</f>
        <v>0.38225624276647474</v>
      </c>
      <c r="Q86" s="98">
        <f t="shared" si="91"/>
        <v>0.35164916207920993</v>
      </c>
      <c r="R86" s="98">
        <f t="shared" si="91"/>
        <v>0.3234927761966053</v>
      </c>
      <c r="S86" s="98">
        <f t="shared" si="91"/>
        <v>0.297590859118313</v>
      </c>
      <c r="T86" s="11">
        <f t="shared" si="91"/>
        <v>0.27376289656914127</v>
      </c>
      <c r="U86" s="11">
        <f t="shared" si="91"/>
        <v>0.2518428279684829</v>
      </c>
      <c r="V86" s="11">
        <f t="shared" si="91"/>
        <v>0.2316778891296702</v>
      </c>
      <c r="W86" s="11">
        <f t="shared" si="91"/>
        <v>0.21312754762385733</v>
      </c>
      <c r="X86" s="11">
        <f t="shared" si="91"/>
        <v>0.19606252338882504</v>
      </c>
      <c r="Y86" s="11">
        <f t="shared" si="91"/>
        <v>0.1803638877571853</v>
      </c>
      <c r="Z86" s="11">
        <f t="shared" si="91"/>
        <v>0.1659222346249814</v>
      </c>
      <c r="AA86" s="11">
        <f t="shared" si="91"/>
        <v>0.15263691798443527</v>
      </c>
      <c r="AB86" s="11">
        <f t="shared" si="91"/>
        <v>0.140415350507095</v>
      </c>
    </row>
    <row r="87" spans="1:28" ht="13.5" customHeight="1" hidden="1">
      <c r="A87" s="120">
        <v>28</v>
      </c>
      <c r="B87" s="39"/>
      <c r="C87" s="149" t="s">
        <v>31</v>
      </c>
      <c r="D87" s="100"/>
      <c r="E87" s="100">
        <f aca="true" t="shared" si="92" ref="E87:AB87">E40</f>
        <v>186.99999999999983</v>
      </c>
      <c r="F87" s="100">
        <f t="shared" si="92"/>
        <v>-386.00000000000017</v>
      </c>
      <c r="G87" s="100">
        <f t="shared" si="92"/>
        <v>156.99999999999986</v>
      </c>
      <c r="H87" s="100">
        <f t="shared" si="92"/>
        <v>416</v>
      </c>
      <c r="I87" s="100">
        <f t="shared" si="92"/>
        <v>383</v>
      </c>
      <c r="J87" s="100">
        <f t="shared" si="92"/>
        <v>204.99999999999994</v>
      </c>
      <c r="K87" s="100">
        <f t="shared" si="92"/>
        <v>337.2</v>
      </c>
      <c r="L87" s="100">
        <f t="shared" si="92"/>
        <v>359.9440000000002</v>
      </c>
      <c r="M87" s="100">
        <f t="shared" si="92"/>
        <v>404.8828799999994</v>
      </c>
      <c r="N87" s="100">
        <f t="shared" si="92"/>
        <v>412.92053760000135</v>
      </c>
      <c r="O87" s="100">
        <f t="shared" si="92"/>
        <v>421.1789483519992</v>
      </c>
      <c r="P87" s="100">
        <f t="shared" si="92"/>
        <v>429.6025273190402</v>
      </c>
      <c r="Q87" s="100">
        <f t="shared" si="92"/>
        <v>438.19457786542057</v>
      </c>
      <c r="R87" s="100">
        <f t="shared" si="92"/>
        <v>446.95846942272976</v>
      </c>
      <c r="S87" s="100">
        <f t="shared" si="92"/>
        <v>455.8976388111838</v>
      </c>
      <c r="T87" s="39">
        <f t="shared" si="92"/>
        <v>465.015591587408</v>
      </c>
      <c r="U87" s="39">
        <f t="shared" si="92"/>
        <v>474.3159034191563</v>
      </c>
      <c r="V87" s="39">
        <f t="shared" si="92"/>
        <v>483.80222148753865</v>
      </c>
      <c r="W87" s="39">
        <f t="shared" si="92"/>
        <v>493.4782659172897</v>
      </c>
      <c r="X87" s="39">
        <f t="shared" si="92"/>
        <v>503.34783123563534</v>
      </c>
      <c r="Y87" s="39">
        <f t="shared" si="92"/>
        <v>513.4147878603469</v>
      </c>
      <c r="Z87" s="39">
        <f t="shared" si="92"/>
        <v>523.6830836175561</v>
      </c>
      <c r="AA87" s="39">
        <f t="shared" si="92"/>
        <v>534.1567452899039</v>
      </c>
      <c r="AB87" s="39">
        <f t="shared" si="92"/>
        <v>544.8398801957026</v>
      </c>
    </row>
    <row r="88" spans="1:28" ht="13.5" customHeight="1" hidden="1">
      <c r="A88" s="117"/>
      <c r="B88" s="131"/>
      <c r="C88" s="145" t="s">
        <v>63</v>
      </c>
      <c r="D88" s="68"/>
      <c r="E88" s="68">
        <f aca="true" t="shared" si="93" ref="E88:N88">E87*E86</f>
        <v>173.07252974713464</v>
      </c>
      <c r="F88" s="68">
        <f t="shared" si="93"/>
        <v>-330.537181858947</v>
      </c>
      <c r="G88" s="68">
        <f t="shared" si="93"/>
        <v>124.48017829077725</v>
      </c>
      <c r="H88" s="68">
        <f t="shared" si="93"/>
        <v>305.2579095153154</v>
      </c>
      <c r="I88" s="68">
        <f t="shared" si="93"/>
        <v>259.7906952061061</v>
      </c>
      <c r="J88" s="68">
        <f t="shared" si="93"/>
        <v>128.42269536091848</v>
      </c>
      <c r="K88" s="68">
        <f t="shared" si="93"/>
        <v>194.95008670559747</v>
      </c>
      <c r="L88" s="68">
        <f t="shared" si="93"/>
        <v>191.86749029620503</v>
      </c>
      <c r="M88" s="68">
        <f t="shared" si="93"/>
        <v>198.80119923520496</v>
      </c>
      <c r="N88" s="68">
        <f t="shared" si="93"/>
        <v>186.5138430196701</v>
      </c>
      <c r="O88" s="68">
        <f aca="true" t="shared" si="94" ref="O88:AB88">O87*O86</f>
        <v>175.01136112822186</v>
      </c>
      <c r="P88" s="68">
        <f t="shared" si="94"/>
        <v>164.21824797595812</v>
      </c>
      <c r="Q88" s="68">
        <f t="shared" si="94"/>
        <v>154.09075613402825</v>
      </c>
      <c r="R88" s="68">
        <f t="shared" si="94"/>
        <v>144.5878361181444</v>
      </c>
      <c r="S88" s="68">
        <f t="shared" si="94"/>
        <v>135.67097000383055</v>
      </c>
      <c r="T88" s="2">
        <f t="shared" si="94"/>
        <v>127.30401530278161</v>
      </c>
      <c r="U88" s="2">
        <f t="shared" si="94"/>
        <v>119.45305846750612</v>
      </c>
      <c r="V88" s="2">
        <f t="shared" si="94"/>
        <v>112.08627743047812</v>
      </c>
      <c r="W88" s="2">
        <f t="shared" si="94"/>
        <v>105.1738126206257</v>
      </c>
      <c r="X88" s="2">
        <f t="shared" si="94"/>
        <v>98.68764593435111</v>
      </c>
      <c r="Y88" s="2">
        <f t="shared" si="94"/>
        <v>92.6014871705227</v>
      </c>
      <c r="Z88" s="2">
        <f t="shared" si="94"/>
        <v>86.8906674691259</v>
      </c>
      <c r="AA88" s="2">
        <f t="shared" si="94"/>
        <v>81.53203932164794</v>
      </c>
      <c r="AB88" s="2">
        <f t="shared" si="94"/>
        <v>76.50388274792323</v>
      </c>
    </row>
    <row r="89" spans="1:28" ht="13.5" customHeight="1" hidden="1">
      <c r="A89" s="117"/>
      <c r="B89" s="131"/>
      <c r="C89" s="145" t="s">
        <v>47</v>
      </c>
      <c r="D89" s="68">
        <f>SUM(E88:N88)</f>
        <v>1432.6194455179823</v>
      </c>
      <c r="E89" s="68">
        <f aca="true" t="shared" si="95" ref="E89:N89">SUM(F88:O88)/E86</f>
        <v>1549.999865212966</v>
      </c>
      <c r="F89" s="68">
        <f t="shared" si="95"/>
        <v>2253.044836320754</v>
      </c>
      <c r="G89" s="68">
        <f t="shared" si="95"/>
        <v>2470.6834204575575</v>
      </c>
      <c r="H89" s="68">
        <f t="shared" si="95"/>
        <v>2450.628562053264</v>
      </c>
      <c r="I89" s="68">
        <f t="shared" si="95"/>
        <v>2468.115756112033</v>
      </c>
      <c r="J89" s="68">
        <f t="shared" si="95"/>
        <v>2670.620167639765</v>
      </c>
      <c r="K89" s="68">
        <f t="shared" si="95"/>
        <v>2763.1859053630888</v>
      </c>
      <c r="L89" s="68">
        <f t="shared" si="95"/>
        <v>2847.2803244921192</v>
      </c>
      <c r="M89" s="68">
        <f t="shared" si="95"/>
        <v>2900.3740048129685</v>
      </c>
      <c r="N89" s="68">
        <f t="shared" si="95"/>
        <v>2958.3814849092278</v>
      </c>
      <c r="O89" s="68">
        <f aca="true" t="shared" si="96" ref="O89:AB89">SUM(P88:Y88)/O86</f>
        <v>3017.5491146074123</v>
      </c>
      <c r="P89" s="68">
        <f t="shared" si="96"/>
        <v>3077.9000968995606</v>
      </c>
      <c r="Q89" s="68">
        <f t="shared" si="96"/>
        <v>3139.4580988375506</v>
      </c>
      <c r="R89" s="68">
        <f t="shared" si="96"/>
        <v>3202.2472608143003</v>
      </c>
      <c r="S89" s="68">
        <f t="shared" si="96"/>
        <v>3025.0690129801915</v>
      </c>
      <c r="T89" s="2">
        <f t="shared" si="96"/>
        <v>2823.351450648356</v>
      </c>
      <c r="U89" s="2">
        <f t="shared" si="96"/>
        <v>2594.7763450958964</v>
      </c>
      <c r="V89" s="2">
        <f t="shared" si="96"/>
        <v>2336.820044838982</v>
      </c>
      <c r="W89" s="2">
        <f t="shared" si="96"/>
        <v>2046.7355229622192</v>
      </c>
      <c r="X89" s="2">
        <f t="shared" si="96"/>
        <v>1721.5328604123117</v>
      </c>
      <c r="Y89" s="2">
        <f t="shared" si="96"/>
        <v>1357.9580290952103</v>
      </c>
      <c r="Z89" s="2">
        <f t="shared" si="96"/>
        <v>952.4698267641168</v>
      </c>
      <c r="AA89" s="2">
        <f t="shared" si="96"/>
        <v>501.214802802324</v>
      </c>
      <c r="AB89" s="2">
        <f t="shared" si="96"/>
        <v>0</v>
      </c>
    </row>
    <row r="90" spans="1:28" ht="13.5" customHeight="1" hidden="1">
      <c r="A90" s="117"/>
      <c r="B90" s="131"/>
      <c r="C90" s="145" t="s">
        <v>45</v>
      </c>
      <c r="D90" s="68">
        <f>O87/(O85-$O$3)*N86</f>
        <v>2837.82594436414</v>
      </c>
      <c r="E90" s="68">
        <f aca="true" t="shared" si="97" ref="E90:N90">P87/(P85-$O$3)*O86/E86</f>
        <v>2877.09625434282</v>
      </c>
      <c r="F90" s="68">
        <f t="shared" si="97"/>
        <v>2917.850814804604</v>
      </c>
      <c r="G90" s="68">
        <f t="shared" si="97"/>
        <v>2956.9958926548525</v>
      </c>
      <c r="H90" s="68">
        <f t="shared" si="97"/>
        <v>2998.0084137519316</v>
      </c>
      <c r="I90" s="68">
        <f t="shared" si="97"/>
        <v>3043.2441525024083</v>
      </c>
      <c r="J90" s="68">
        <f t="shared" si="97"/>
        <v>3091.924400222324</v>
      </c>
      <c r="K90" s="68">
        <f t="shared" si="97"/>
        <v>3143.663780499348</v>
      </c>
      <c r="L90" s="68">
        <f t="shared" si="97"/>
        <v>3199.342047523884</v>
      </c>
      <c r="M90" s="68">
        <f t="shared" si="97"/>
        <v>3259.062698412418</v>
      </c>
      <c r="N90" s="68">
        <f t="shared" si="97"/>
        <v>3324.2439523806593</v>
      </c>
      <c r="O90" s="68">
        <f aca="true" t="shared" si="98" ref="O90:AB90">Z87/(Z85-$O$3)*Y86/O86</f>
        <v>3390.728831428287</v>
      </c>
      <c r="P90" s="68">
        <f t="shared" si="98"/>
        <v>3458.5434080568302</v>
      </c>
      <c r="Q90" s="68">
        <f t="shared" si="98"/>
        <v>3527.714276217971</v>
      </c>
      <c r="R90" s="68">
        <f t="shared" si="98"/>
        <v>0</v>
      </c>
      <c r="S90" s="68">
        <f t="shared" si="98"/>
        <v>0</v>
      </c>
      <c r="T90" s="2">
        <f t="shared" si="98"/>
        <v>0</v>
      </c>
      <c r="U90" s="2">
        <f t="shared" si="98"/>
        <v>0</v>
      </c>
      <c r="V90" s="2">
        <f t="shared" si="98"/>
        <v>0</v>
      </c>
      <c r="W90" s="2">
        <f t="shared" si="98"/>
        <v>0</v>
      </c>
      <c r="X90" s="2">
        <f t="shared" si="98"/>
        <v>0</v>
      </c>
      <c r="Y90" s="2">
        <f t="shared" si="98"/>
        <v>0</v>
      </c>
      <c r="Z90" s="2">
        <f t="shared" si="98"/>
        <v>0</v>
      </c>
      <c r="AA90" s="2">
        <f t="shared" si="98"/>
        <v>0</v>
      </c>
      <c r="AB90" s="2">
        <f t="shared" si="98"/>
        <v>0</v>
      </c>
    </row>
    <row r="91" spans="1:28" ht="13.5" customHeight="1">
      <c r="A91" s="117">
        <v>49</v>
      </c>
      <c r="B91" s="131"/>
      <c r="C91" s="149" t="s">
        <v>64</v>
      </c>
      <c r="D91" s="101">
        <f aca="true" t="shared" si="99" ref="D91:M91">D89+D90</f>
        <v>4270.445389882122</v>
      </c>
      <c r="E91" s="101">
        <f t="shared" si="99"/>
        <v>4427.096119555786</v>
      </c>
      <c r="F91" s="101">
        <f t="shared" si="99"/>
        <v>5170.895651125358</v>
      </c>
      <c r="G91" s="101">
        <f t="shared" si="99"/>
        <v>5427.6793131124105</v>
      </c>
      <c r="H91" s="101">
        <f t="shared" si="99"/>
        <v>5448.636975805195</v>
      </c>
      <c r="I91" s="101">
        <f t="shared" si="99"/>
        <v>5511.359908614441</v>
      </c>
      <c r="J91" s="101">
        <f t="shared" si="99"/>
        <v>5762.544567862089</v>
      </c>
      <c r="K91" s="101">
        <f t="shared" si="99"/>
        <v>5906.849685862437</v>
      </c>
      <c r="L91" s="101">
        <f t="shared" si="99"/>
        <v>6046.622372016003</v>
      </c>
      <c r="M91" s="101">
        <f t="shared" si="99"/>
        <v>6159.436703225387</v>
      </c>
      <c r="N91" s="101">
        <f aca="true" t="shared" si="100" ref="N91:AB91">N89+N90</f>
        <v>6282.6254372898875</v>
      </c>
      <c r="O91" s="70">
        <f t="shared" si="100"/>
        <v>6408.2779460357</v>
      </c>
      <c r="P91" s="70">
        <f t="shared" si="100"/>
        <v>6536.443504956391</v>
      </c>
      <c r="Q91" s="70">
        <f t="shared" si="100"/>
        <v>6667.172375055521</v>
      </c>
      <c r="R91" s="70">
        <f t="shared" si="100"/>
        <v>3202.2472608143003</v>
      </c>
      <c r="S91" s="70">
        <f t="shared" si="100"/>
        <v>3025.0690129801915</v>
      </c>
      <c r="T91" s="21">
        <f t="shared" si="100"/>
        <v>2823.351450648356</v>
      </c>
      <c r="U91" s="21">
        <f t="shared" si="100"/>
        <v>2594.7763450958964</v>
      </c>
      <c r="V91" s="21">
        <f t="shared" si="100"/>
        <v>2336.820044838982</v>
      </c>
      <c r="W91" s="21">
        <f t="shared" si="100"/>
        <v>2046.7355229622192</v>
      </c>
      <c r="X91" s="21">
        <f t="shared" si="100"/>
        <v>1721.5328604123117</v>
      </c>
      <c r="Y91" s="21">
        <f t="shared" si="100"/>
        <v>1357.9580290952103</v>
      </c>
      <c r="Z91" s="21">
        <f t="shared" si="100"/>
        <v>952.4698267641168</v>
      </c>
      <c r="AA91" s="21">
        <f t="shared" si="100"/>
        <v>501.214802802324</v>
      </c>
      <c r="AB91" s="21">
        <f t="shared" si="100"/>
        <v>0</v>
      </c>
    </row>
    <row r="92" spans="1:28" s="105" customFormat="1" ht="13.5" customHeight="1" thickBot="1">
      <c r="A92" s="165">
        <v>50</v>
      </c>
      <c r="B92" s="105" t="s">
        <v>52</v>
      </c>
      <c r="C92" s="167" t="s">
        <v>65</v>
      </c>
      <c r="D92" s="174">
        <f>D91-D66</f>
        <v>2402.7070454420373</v>
      </c>
      <c r="E92" s="106">
        <f>E91-E66</f>
        <v>2551.626668078875</v>
      </c>
      <c r="F92" s="106">
        <f>F91-F66</f>
        <v>2787.860714877763</v>
      </c>
      <c r="G92" s="106">
        <f>G91-G66</f>
        <v>3031.867622451654</v>
      </c>
      <c r="H92" s="106">
        <f>H91-H66</f>
        <v>3340.3733899821573</v>
      </c>
      <c r="I92" s="106">
        <f>I91-I66</f>
        <v>3594.3083027784674</v>
      </c>
      <c r="J92" s="106">
        <f>J91-J66</f>
        <v>3938.6590554388104</v>
      </c>
      <c r="K92" s="106">
        <f>K91-K66</f>
        <v>4277.329980439412</v>
      </c>
      <c r="L92" s="106">
        <f>L91-L66</f>
        <v>4612.898470179987</v>
      </c>
      <c r="M92" s="106">
        <f>M91-M66</f>
        <v>5022.450359140752</v>
      </c>
      <c r="N92" s="106">
        <f>N91-N66</f>
        <v>5122.899366323561</v>
      </c>
      <c r="O92" s="106">
        <f>O91-O66</f>
        <v>5225.357353650046</v>
      </c>
      <c r="P92" s="106">
        <f>P91-P66</f>
        <v>5329.864500723024</v>
      </c>
      <c r="Q92" s="112">
        <f>Q91-Q66</f>
        <v>5584.740215055521</v>
      </c>
      <c r="R92" s="112">
        <f>R91-R66</f>
        <v>2098.1664576143003</v>
      </c>
      <c r="S92" s="112">
        <f>S91-S66</f>
        <v>1898.9065937161915</v>
      </c>
      <c r="T92" s="113">
        <f>T91-T66</f>
        <v>1674.665782999076</v>
      </c>
      <c r="U92" s="113">
        <f>U91-U66</f>
        <v>1423.1169640936307</v>
      </c>
      <c r="V92" s="113">
        <f>V91-V66</f>
        <v>1141.727476216671</v>
      </c>
      <c r="W92" s="113">
        <f>W91-W66</f>
        <v>827.7411029674618</v>
      </c>
      <c r="X92" s="113">
        <f>X91-X66</f>
        <v>478.1585520176591</v>
      </c>
      <c r="Y92" s="113">
        <f>Y91-Y66</f>
        <v>89.71623453266466</v>
      </c>
      <c r="Z92" s="113">
        <f>Z91-Z66</f>
        <v>-341.13680368967994</v>
      </c>
      <c r="AA92" s="113">
        <f>AA91-AA66</f>
        <v>-818.2639602605487</v>
      </c>
      <c r="AB92" s="113">
        <f>AB91-AB66</f>
        <v>-1345.8683383241303</v>
      </c>
    </row>
    <row r="93" spans="1:28" s="7" customFormat="1" ht="13.5" customHeight="1">
      <c r="A93" s="117">
        <v>51</v>
      </c>
      <c r="B93" s="163"/>
      <c r="C93" s="164" t="s">
        <v>66</v>
      </c>
      <c r="D93" s="91">
        <f>(D66*D67+D100*D77)/(D100+D66)</f>
        <v>0.08932340654148628</v>
      </c>
      <c r="E93" s="91">
        <f>(E66*E67+E100*E77)/(E100+E66)</f>
        <v>0.08935869492918745</v>
      </c>
      <c r="F93" s="91">
        <f>(F66*F67+F100*F77)/(F100+F66)</f>
        <v>0.08936240318183232</v>
      </c>
      <c r="G93" s="91">
        <f>(G66*G67+G100*G77)/(G100+G66)</f>
        <v>0.08940426187679953</v>
      </c>
      <c r="H93" s="91">
        <f>(H66*H67+H100*H77)/(H100+H66)</f>
        <v>0.08951283320488933</v>
      </c>
      <c r="I93" s="91">
        <f>(I66*I67+I100*I77)/(I100+I66)</f>
        <v>0.08963026683768782</v>
      </c>
      <c r="J93" s="91">
        <f>(J66*J67+J100*J77)/(J100+J66)</f>
        <v>0.08975290549331705</v>
      </c>
      <c r="K93" s="91">
        <f>(K66*K67+K100*K77)/(K100+K66)</f>
        <v>0.08993231830919785</v>
      </c>
      <c r="L93" s="91">
        <f>(L66*L67+L100*L77)/(L100+L66)</f>
        <v>0.09013250335123481</v>
      </c>
      <c r="M93" s="91">
        <f>(M66*M67+M100*M77)/(M100+M66)</f>
        <v>0.09044808778906317</v>
      </c>
      <c r="N93" s="91">
        <f>(N66*N67+N100*N77)/(N100+N66)</f>
        <v>0.09044808778906316</v>
      </c>
      <c r="O93" s="91">
        <f>(O66*O67+O100*O77)/(O100+O66)</f>
        <v>0.09044808778906316</v>
      </c>
      <c r="P93" s="91">
        <f aca="true" t="shared" si="101" ref="P93:AB93">O93</f>
        <v>0.09044808778906316</v>
      </c>
      <c r="Q93" s="91">
        <f t="shared" si="101"/>
        <v>0.09044808778906316</v>
      </c>
      <c r="R93" s="91">
        <f t="shared" si="101"/>
        <v>0.09044808778906316</v>
      </c>
      <c r="S93" s="91">
        <f t="shared" si="101"/>
        <v>0.09044808778906316</v>
      </c>
      <c r="T93" s="91">
        <f t="shared" si="101"/>
        <v>0.09044808778906316</v>
      </c>
      <c r="U93" s="91">
        <f t="shared" si="101"/>
        <v>0.09044808778906316</v>
      </c>
      <c r="V93" s="91">
        <f t="shared" si="101"/>
        <v>0.09044808778906316</v>
      </c>
      <c r="W93" s="91">
        <f t="shared" si="101"/>
        <v>0.09044808778906316</v>
      </c>
      <c r="X93" s="91">
        <f t="shared" si="101"/>
        <v>0.09044808778906316</v>
      </c>
      <c r="Y93" s="91">
        <f t="shared" si="101"/>
        <v>0.09044808778906316</v>
      </c>
      <c r="Z93" s="91">
        <f t="shared" si="101"/>
        <v>0.09044808778906316</v>
      </c>
      <c r="AA93" s="91">
        <f t="shared" si="101"/>
        <v>0.09044808778906316</v>
      </c>
      <c r="AB93" s="91">
        <f t="shared" si="101"/>
        <v>0.09044808778906316</v>
      </c>
    </row>
    <row r="94" spans="1:28" ht="13.5" customHeight="1" hidden="1">
      <c r="A94" s="117"/>
      <c r="B94" s="131"/>
      <c r="C94" s="145" t="s">
        <v>62</v>
      </c>
      <c r="D94" s="98">
        <v>1</v>
      </c>
      <c r="E94" s="98">
        <f>1/(1+D93)</f>
        <v>0.9180010215468692</v>
      </c>
      <c r="F94" s="98">
        <f aca="true" t="shared" si="102" ref="F94:U94">E94/(1+E93)</f>
        <v>0.8426985765295084</v>
      </c>
      <c r="G94" s="98">
        <f t="shared" si="102"/>
        <v>0.7735704610955334</v>
      </c>
      <c r="H94" s="98">
        <f t="shared" si="102"/>
        <v>0.7100857672089924</v>
      </c>
      <c r="I94" s="98">
        <f t="shared" si="102"/>
        <v>0.6517461250274751</v>
      </c>
      <c r="J94" s="98">
        <f t="shared" si="102"/>
        <v>0.5981351150596844</v>
      </c>
      <c r="K94" s="98">
        <f t="shared" si="102"/>
        <v>0.5488722370406679</v>
      </c>
      <c r="L94" s="98">
        <f t="shared" si="102"/>
        <v>0.5035837802223614</v>
      </c>
      <c r="M94" s="98">
        <f t="shared" si="102"/>
        <v>0.46194731252785093</v>
      </c>
      <c r="N94" s="98">
        <f t="shared" si="102"/>
        <v>0.42363072364542514</v>
      </c>
      <c r="O94" s="98">
        <f t="shared" si="102"/>
        <v>0.3884923348385682</v>
      </c>
      <c r="P94" s="98">
        <f t="shared" si="102"/>
        <v>0.35626852776298173</v>
      </c>
      <c r="Q94" s="98">
        <f t="shared" si="102"/>
        <v>0.3267175501085371</v>
      </c>
      <c r="R94" s="98">
        <f t="shared" si="102"/>
        <v>0.29961770190360265</v>
      </c>
      <c r="S94" s="98">
        <f t="shared" si="102"/>
        <v>0.2747656722578075</v>
      </c>
      <c r="T94" s="11">
        <f t="shared" si="102"/>
        <v>0.25197501406500544</v>
      </c>
      <c r="U94" s="11">
        <f t="shared" si="102"/>
        <v>0.23107474522322022</v>
      </c>
      <c r="V94" s="11">
        <f aca="true" t="shared" si="103" ref="V94:AB94">U94/(1+U93)</f>
        <v>0.21190806587751973</v>
      </c>
      <c r="W94" s="11">
        <f t="shared" si="103"/>
        <v>0.19433118206220498</v>
      </c>
      <c r="X94" s="11">
        <f t="shared" si="103"/>
        <v>0.1782122269169374</v>
      </c>
      <c r="Y94" s="11">
        <f t="shared" si="103"/>
        <v>0.16343027138345612</v>
      </c>
      <c r="Z94" s="11">
        <f t="shared" si="103"/>
        <v>0.14987441696084677</v>
      </c>
      <c r="AA94" s="11">
        <f t="shared" si="103"/>
        <v>0.13744296371294895</v>
      </c>
      <c r="AB94" s="11">
        <f t="shared" si="103"/>
        <v>0.12604264728605402</v>
      </c>
    </row>
    <row r="95" spans="1:28" ht="13.5" customHeight="1" hidden="1">
      <c r="A95" s="120">
        <v>28</v>
      </c>
      <c r="B95" s="39"/>
      <c r="C95" s="149" t="s">
        <v>30</v>
      </c>
      <c r="D95" s="100"/>
      <c r="E95" s="69">
        <f aca="true" t="shared" si="104" ref="E95:U95">E39</f>
        <v>224.79999999999984</v>
      </c>
      <c r="F95" s="69">
        <f t="shared" si="104"/>
        <v>-348.20000000000016</v>
      </c>
      <c r="G95" s="69">
        <f t="shared" si="104"/>
        <v>205.29999999999987</v>
      </c>
      <c r="H95" s="69">
        <f t="shared" si="104"/>
        <v>464.29999999999995</v>
      </c>
      <c r="I95" s="69">
        <f t="shared" si="104"/>
        <v>425</v>
      </c>
      <c r="J95" s="69">
        <f t="shared" si="104"/>
        <v>242.79999999999995</v>
      </c>
      <c r="K95" s="69">
        <f t="shared" si="104"/>
        <v>372.9</v>
      </c>
      <c r="L95" s="69">
        <f t="shared" si="104"/>
        <v>391.4440000000002</v>
      </c>
      <c r="M95" s="69">
        <f t="shared" si="104"/>
        <v>432.1828799999994</v>
      </c>
      <c r="N95" s="69">
        <f t="shared" si="104"/>
        <v>433.92053760000135</v>
      </c>
      <c r="O95" s="69">
        <f t="shared" si="104"/>
        <v>442.5989483519992</v>
      </c>
      <c r="P95" s="69">
        <f t="shared" si="104"/>
        <v>451.4509273190402</v>
      </c>
      <c r="Q95" s="69">
        <f t="shared" si="104"/>
        <v>460.4799458654206</v>
      </c>
      <c r="R95" s="69">
        <f t="shared" si="104"/>
        <v>469.6895447827298</v>
      </c>
      <c r="S95" s="69">
        <f t="shared" si="104"/>
        <v>479.08333567838383</v>
      </c>
      <c r="T95" s="69">
        <f t="shared" si="104"/>
        <v>488.665002391952</v>
      </c>
      <c r="U95" s="69">
        <f t="shared" si="104"/>
        <v>498.4383024397912</v>
      </c>
      <c r="V95" s="69">
        <f>U95*(1+$O3)</f>
        <v>508.407068488587</v>
      </c>
      <c r="W95" s="69">
        <f>V95*(1+$O3)</f>
        <v>518.5752098583588</v>
      </c>
      <c r="X95" s="69">
        <f>W95*(1+$O3)</f>
        <v>528.946714055526</v>
      </c>
      <c r="Y95" s="69">
        <f>X95*(1+$O3)</f>
        <v>539.5256483366364</v>
      </c>
      <c r="Z95" s="69">
        <f>Y95*(1+$O3)</f>
        <v>550.3161613033692</v>
      </c>
      <c r="AA95" s="69">
        <f>Z95*(1+$O3)</f>
        <v>561.3224845294366</v>
      </c>
      <c r="AB95" s="69">
        <f>AA95*(1+$O3)</f>
        <v>572.5489342200253</v>
      </c>
    </row>
    <row r="96" spans="1:28" ht="13.5" customHeight="1" hidden="1">
      <c r="A96" s="117"/>
      <c r="B96" s="131"/>
      <c r="C96" s="145" t="s">
        <v>63</v>
      </c>
      <c r="D96" s="68"/>
      <c r="E96" s="68">
        <f>E95*E94</f>
        <v>206.36662964373605</v>
      </c>
      <c r="F96" s="68">
        <f aca="true" t="shared" si="105" ref="F96:T96">F95*F94</f>
        <v>-293.427644347575</v>
      </c>
      <c r="G96" s="68">
        <f t="shared" si="105"/>
        <v>158.8140156629129</v>
      </c>
      <c r="H96" s="68">
        <f t="shared" si="105"/>
        <v>329.69282171513515</v>
      </c>
      <c r="I96" s="68">
        <f t="shared" si="105"/>
        <v>276.9921031366769</v>
      </c>
      <c r="J96" s="68">
        <f t="shared" si="105"/>
        <v>145.22720593649134</v>
      </c>
      <c r="K96" s="68">
        <f t="shared" si="105"/>
        <v>204.67445719246504</v>
      </c>
      <c r="L96" s="68">
        <f t="shared" si="105"/>
        <v>197.12484926536212</v>
      </c>
      <c r="M96" s="68">
        <f t="shared" si="105"/>
        <v>199.6457199365464</v>
      </c>
      <c r="N96" s="68">
        <f t="shared" si="105"/>
        <v>183.82207134810048</v>
      </c>
      <c r="O96" s="68">
        <f t="shared" si="105"/>
        <v>171.94629884236303</v>
      </c>
      <c r="P96" s="68">
        <f t="shared" si="105"/>
        <v>160.83775723318732</v>
      </c>
      <c r="Q96" s="68">
        <f t="shared" si="105"/>
        <v>150.446879787262</v>
      </c>
      <c r="R96" s="68">
        <f t="shared" si="105"/>
        <v>140.72730201595076</v>
      </c>
      <c r="S96" s="68">
        <f t="shared" si="105"/>
        <v>131.635654795184</v>
      </c>
      <c r="T96" s="2">
        <f t="shared" si="105"/>
        <v>123.13137085078802</v>
      </c>
      <c r="U96" s="2">
        <f aca="true" t="shared" si="106" ref="U96:AB96">U95*U94</f>
        <v>115.17650374576914</v>
      </c>
      <c r="V96" s="2">
        <f t="shared" si="106"/>
        <v>107.73555856187619</v>
      </c>
      <c r="W96" s="2">
        <f t="shared" si="106"/>
        <v>100.77533351993088</v>
      </c>
      <c r="X96" s="2">
        <f t="shared" si="106"/>
        <v>94.26477183223179</v>
      </c>
      <c r="Y96" s="2">
        <f t="shared" si="106"/>
        <v>88.17482312599161</v>
      </c>
      <c r="Z96" s="2">
        <f t="shared" si="106"/>
        <v>82.47831381947377</v>
      </c>
      <c r="AA96" s="2">
        <f t="shared" si="106"/>
        <v>77.1498258724417</v>
      </c>
      <c r="AB96" s="2">
        <f t="shared" si="106"/>
        <v>72.1655833699008</v>
      </c>
    </row>
    <row r="97" spans="1:28" ht="13.5" customHeight="1" hidden="1">
      <c r="A97" s="117"/>
      <c r="B97" s="131"/>
      <c r="C97" s="145" t="s">
        <v>47</v>
      </c>
      <c r="D97" s="68">
        <f>SUM(E96:N96)</f>
        <v>1608.9322294898516</v>
      </c>
      <c r="E97" s="68">
        <f aca="true" t="shared" si="107" ref="E97:T97">SUM(F96:O96)/E94</f>
        <v>1715.1526651194372</v>
      </c>
      <c r="F97" s="68">
        <f t="shared" si="107"/>
        <v>2407.4768330858815</v>
      </c>
      <c r="G97" s="68">
        <f t="shared" si="107"/>
        <v>2611.7984928383603</v>
      </c>
      <c r="H97" s="68">
        <f t="shared" si="107"/>
        <v>2579.187936540312</v>
      </c>
      <c r="I97" s="68">
        <f t="shared" si="107"/>
        <v>2587.0321764963824</v>
      </c>
      <c r="J97" s="68">
        <f t="shared" si="107"/>
        <v>2781.9673504725915</v>
      </c>
      <c r="K97" s="68">
        <f t="shared" si="107"/>
        <v>2868.5991047928574</v>
      </c>
      <c r="L97" s="68">
        <f t="shared" si="107"/>
        <v>2949.0725782734053</v>
      </c>
      <c r="M97" s="68">
        <f t="shared" si="107"/>
        <v>3000.8502985215123</v>
      </c>
      <c r="N97" s="68">
        <f t="shared" si="107"/>
        <v>3060.867304491942</v>
      </c>
      <c r="O97" s="68">
        <f t="shared" si="107"/>
        <v>3122.0846505817813</v>
      </c>
      <c r="P97" s="68">
        <f t="shared" si="107"/>
        <v>3184.5263435934166</v>
      </c>
      <c r="Q97" s="68">
        <f t="shared" si="107"/>
        <v>3248.2168704652863</v>
      </c>
      <c r="R97" s="68">
        <f t="shared" si="107"/>
        <v>3313.1812078745925</v>
      </c>
      <c r="S97" s="68">
        <f t="shared" si="107"/>
        <v>3133.7687769471245</v>
      </c>
      <c r="T97" s="2">
        <f t="shared" si="107"/>
        <v>2928.5471680031114</v>
      </c>
      <c r="U97" s="2">
        <f aca="true" t="shared" si="108" ref="U97:AB97">SUM(V96:AE96)/U94</f>
        <v>2694.990356909278</v>
      </c>
      <c r="V97" s="2">
        <f t="shared" si="108"/>
        <v>2430.3400128130997</v>
      </c>
      <c r="W97" s="2">
        <f t="shared" si="108"/>
        <v>2131.5844097909335</v>
      </c>
      <c r="X97" s="2">
        <f t="shared" si="108"/>
        <v>1795.4354295619762</v>
      </c>
      <c r="Y97" s="2">
        <f t="shared" si="108"/>
        <v>1418.303482577956</v>
      </c>
      <c r="Z97" s="2">
        <f t="shared" si="108"/>
        <v>996.2701591783318</v>
      </c>
      <c r="AA97" s="2">
        <f t="shared" si="108"/>
        <v>525.058405467881</v>
      </c>
      <c r="AB97" s="2">
        <f t="shared" si="108"/>
        <v>0</v>
      </c>
    </row>
    <row r="98" spans="1:28" ht="13.5" customHeight="1" hidden="1">
      <c r="A98" s="117"/>
      <c r="B98" s="131"/>
      <c r="C98" s="145" t="s">
        <v>45</v>
      </c>
      <c r="D98" s="68">
        <f>O95/(O93-$O$3)*N94</f>
        <v>2661.51316039227</v>
      </c>
      <c r="E98" s="68">
        <f>P95/(P93-$O$3)*O94/E94</f>
        <v>2711.943454436348</v>
      </c>
      <c r="F98" s="68">
        <f>Q95/(Q93-$O$3)*P94/F94</f>
        <v>2763.418818039476</v>
      </c>
      <c r="G98" s="68">
        <f aca="true" t="shared" si="109" ref="G98:T98">R95/(R93-$O$3)*Q94/G94</f>
        <v>2815.880820274049</v>
      </c>
      <c r="H98" s="68">
        <f t="shared" si="109"/>
        <v>2869.449039264884</v>
      </c>
      <c r="I98" s="68">
        <f t="shared" si="109"/>
        <v>2924.3277321180585</v>
      </c>
      <c r="J98" s="68">
        <f t="shared" si="109"/>
        <v>2980.577217389498</v>
      </c>
      <c r="K98" s="68">
        <f t="shared" si="109"/>
        <v>3038.2505810695848</v>
      </c>
      <c r="L98" s="68">
        <f t="shared" si="109"/>
        <v>3097.5497937426035</v>
      </c>
      <c r="M98" s="68">
        <f t="shared" si="109"/>
        <v>3158.5864047038813</v>
      </c>
      <c r="N98" s="68">
        <f t="shared" si="109"/>
        <v>3221.758132797959</v>
      </c>
      <c r="O98" s="68">
        <f t="shared" si="109"/>
        <v>3286.1932954539184</v>
      </c>
      <c r="P98" s="68">
        <f t="shared" si="109"/>
        <v>3351.9171613629965</v>
      </c>
      <c r="Q98" s="68">
        <f t="shared" si="109"/>
        <v>3418.955504590257</v>
      </c>
      <c r="R98" s="68">
        <f t="shared" si="109"/>
        <v>0</v>
      </c>
      <c r="S98" s="68">
        <f t="shared" si="109"/>
        <v>0</v>
      </c>
      <c r="T98" s="2">
        <f t="shared" si="109"/>
        <v>0</v>
      </c>
      <c r="U98" s="2">
        <f aca="true" t="shared" si="110" ref="U98:AB98">AF95/(AF93-$O$3)*AE94/U94</f>
        <v>0</v>
      </c>
      <c r="V98" s="2">
        <f t="shared" si="110"/>
        <v>0</v>
      </c>
      <c r="W98" s="2">
        <f t="shared" si="110"/>
        <v>0</v>
      </c>
      <c r="X98" s="2">
        <f t="shared" si="110"/>
        <v>0</v>
      </c>
      <c r="Y98" s="2">
        <f t="shared" si="110"/>
        <v>0</v>
      </c>
      <c r="Z98" s="2">
        <f t="shared" si="110"/>
        <v>0</v>
      </c>
      <c r="AA98" s="2">
        <f t="shared" si="110"/>
        <v>0</v>
      </c>
      <c r="AB98" s="2">
        <f t="shared" si="110"/>
        <v>0</v>
      </c>
    </row>
    <row r="99" spans="1:28" ht="13.5" customHeight="1">
      <c r="A99" s="117">
        <v>52</v>
      </c>
      <c r="B99" s="131"/>
      <c r="C99" s="149" t="s">
        <v>67</v>
      </c>
      <c r="D99" s="101">
        <f aca="true" t="shared" si="111" ref="D99:S99">D97+D98</f>
        <v>4270.445389882121</v>
      </c>
      <c r="E99" s="101">
        <f t="shared" si="111"/>
        <v>4427.096119555785</v>
      </c>
      <c r="F99" s="101">
        <f t="shared" si="111"/>
        <v>5170.895651125357</v>
      </c>
      <c r="G99" s="101">
        <f t="shared" si="111"/>
        <v>5427.679313112409</v>
      </c>
      <c r="H99" s="101">
        <f t="shared" si="111"/>
        <v>5448.636975805196</v>
      </c>
      <c r="I99" s="101">
        <f t="shared" si="111"/>
        <v>5511.35990861444</v>
      </c>
      <c r="J99" s="101">
        <f t="shared" si="111"/>
        <v>5762.544567862089</v>
      </c>
      <c r="K99" s="101">
        <f t="shared" si="111"/>
        <v>5906.849685862442</v>
      </c>
      <c r="L99" s="101">
        <f t="shared" si="111"/>
        <v>6046.622372016009</v>
      </c>
      <c r="M99" s="101">
        <f t="shared" si="111"/>
        <v>6159.436703225394</v>
      </c>
      <c r="N99" s="101">
        <f t="shared" si="111"/>
        <v>6282.625437289901</v>
      </c>
      <c r="O99" s="70">
        <f t="shared" si="111"/>
        <v>6408.2779460357</v>
      </c>
      <c r="P99" s="70">
        <f t="shared" si="111"/>
        <v>6536.443504956413</v>
      </c>
      <c r="Q99" s="70">
        <f t="shared" si="111"/>
        <v>6667.172375055543</v>
      </c>
      <c r="R99" s="70">
        <f t="shared" si="111"/>
        <v>3313.1812078745925</v>
      </c>
      <c r="S99" s="70">
        <f t="shared" si="111"/>
        <v>3133.7687769471245</v>
      </c>
      <c r="T99" s="21">
        <f aca="true" t="shared" si="112" ref="T99:AB99">T97+T98</f>
        <v>2928.5471680031114</v>
      </c>
      <c r="U99" s="21">
        <f t="shared" si="112"/>
        <v>2694.990356909278</v>
      </c>
      <c r="V99" s="21">
        <f t="shared" si="112"/>
        <v>2430.3400128130997</v>
      </c>
      <c r="W99" s="21">
        <f t="shared" si="112"/>
        <v>2131.5844097909335</v>
      </c>
      <c r="X99" s="21">
        <f t="shared" si="112"/>
        <v>1795.4354295619762</v>
      </c>
      <c r="Y99" s="21">
        <f t="shared" si="112"/>
        <v>1418.303482577956</v>
      </c>
      <c r="Z99" s="21">
        <f t="shared" si="112"/>
        <v>996.2701591783318</v>
      </c>
      <c r="AA99" s="21">
        <f t="shared" si="112"/>
        <v>525.058405467881</v>
      </c>
      <c r="AB99" s="21">
        <f t="shared" si="112"/>
        <v>0</v>
      </c>
    </row>
    <row r="100" spans="1:28" s="105" customFormat="1" ht="13.5" customHeight="1" thickBot="1">
      <c r="A100" s="165">
        <v>53</v>
      </c>
      <c r="B100" s="105" t="s">
        <v>52</v>
      </c>
      <c r="C100" s="167" t="s">
        <v>68</v>
      </c>
      <c r="D100" s="174">
        <f>D99-D66</f>
        <v>2402.7070454420364</v>
      </c>
      <c r="E100" s="174">
        <f>E99-E66</f>
        <v>2551.626668078874</v>
      </c>
      <c r="F100" s="174">
        <f>F99-F66</f>
        <v>2787.860714877762</v>
      </c>
      <c r="G100" s="174">
        <f>G99-G66</f>
        <v>3031.867622451652</v>
      </c>
      <c r="H100" s="174">
        <f>H99-H66</f>
        <v>3340.373389982158</v>
      </c>
      <c r="I100" s="174">
        <f>I99-I66</f>
        <v>3594.3083027784664</v>
      </c>
      <c r="J100" s="174">
        <f>J99-J66</f>
        <v>3938.6590554388104</v>
      </c>
      <c r="K100" s="174">
        <f>K99-K66</f>
        <v>4277.329980439417</v>
      </c>
      <c r="L100" s="174">
        <f>L99-L66</f>
        <v>4612.898470179993</v>
      </c>
      <c r="M100" s="174">
        <f>M99-M66</f>
        <v>5022.450359140759</v>
      </c>
      <c r="N100" s="174">
        <f>N99-N66</f>
        <v>5122.899366323574</v>
      </c>
      <c r="O100" s="174">
        <f>O99-O66</f>
        <v>5225.357353650046</v>
      </c>
      <c r="P100" s="174">
        <f>P99-P66</f>
        <v>5329.864500723046</v>
      </c>
      <c r="Q100" s="106">
        <f>Q99-Q14</f>
        <v>5584.740215055543</v>
      </c>
      <c r="R100" s="106">
        <f>R99-R14</f>
        <v>2209.1004046745925</v>
      </c>
      <c r="S100" s="106">
        <f>S99-S14</f>
        <v>2007.6063576831245</v>
      </c>
      <c r="T100" s="106">
        <f>T99-T14</f>
        <v>1779.8615003538314</v>
      </c>
      <c r="U100" s="106">
        <f>U99-U14</f>
        <v>1523.3309759070123</v>
      </c>
      <c r="V100" s="106">
        <f>V99-V14</f>
        <v>1235.2474441907887</v>
      </c>
      <c r="W100" s="106">
        <f>W99-W14</f>
        <v>912.589989796176</v>
      </c>
      <c r="X100" s="106">
        <f>X99-X14</f>
        <v>552.0611211673236</v>
      </c>
      <c r="Y100" s="106">
        <f>Y99-Y14</f>
        <v>150.06168801541025</v>
      </c>
      <c r="Z100" s="106">
        <f>Z99-Z14</f>
        <v>-297.3364712754649</v>
      </c>
      <c r="AA100" s="106">
        <f>AA99-AA14</f>
        <v>-794.4203575949917</v>
      </c>
      <c r="AB100" s="106">
        <f>AB99-AB14</f>
        <v>-1345.8683383241303</v>
      </c>
    </row>
  </sheetData>
  <printOptions/>
  <pageMargins left="0.7499999999999608" right="0.39566929133858264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2003-11-24T14:30:05Z</dcterms:created>
  <dcterms:modified xsi:type="dcterms:W3CDTF">2004-03-02T09:33:53Z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-1021533501</vt:i4>
  </property>
  <property fmtid="{D5CDD505-2E9C-101B-9397-08002B2CF9AE}" pid="3" name="_EmailSubject">
    <vt:lpwstr>Cambiar estas tablas cap 25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