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Tabla 25.11" sheetId="1" r:id="rId1"/>
  </sheets>
  <definedNames>
    <definedName name="_xlnm.Print_Area" localSheetId="0">'Tabla 25.11'!$A$1:$P$120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<sst xmlns="http://schemas.openxmlformats.org/spreadsheetml/2006/main" count="98" uniqueCount="84">
  <si>
    <t>Fórmulas para valorar empresas</t>
  </si>
  <si>
    <t>D =</t>
  </si>
  <si>
    <t xml:space="preserve">CRECIMIENTO = </t>
  </si>
  <si>
    <t>imp =</t>
  </si>
  <si>
    <t>Caja necesaria</t>
  </si>
  <si>
    <t>Cuentas a cobrar</t>
  </si>
  <si>
    <t>Stocks</t>
  </si>
  <si>
    <t>Activo fijo bruto</t>
  </si>
  <si>
    <t xml:space="preserve"> - amort acumulada</t>
  </si>
  <si>
    <t>Activo fijo neto</t>
  </si>
  <si>
    <t>TOTAL ACTIVO</t>
  </si>
  <si>
    <t>Cuentas a pagar</t>
  </si>
  <si>
    <t>Deuda</t>
  </si>
  <si>
    <t>Capital (valor contable)</t>
  </si>
  <si>
    <t>TOTAL PASIVO</t>
  </si>
  <si>
    <t>NOF</t>
  </si>
  <si>
    <t>∆ NOF</t>
  </si>
  <si>
    <t>Ventas</t>
  </si>
  <si>
    <t>Coste de ventas</t>
  </si>
  <si>
    <t>Gastos generales</t>
  </si>
  <si>
    <t>Amortización</t>
  </si>
  <si>
    <t>Margen</t>
  </si>
  <si>
    <t>Intereses</t>
  </si>
  <si>
    <t>BAT</t>
  </si>
  <si>
    <t>Impuestos</t>
  </si>
  <si>
    <t>BDT</t>
  </si>
  <si>
    <t>Flujo de fondos (millones)</t>
  </si>
  <si>
    <t xml:space="preserve"> + Amortización</t>
  </si>
  <si>
    <t xml:space="preserve"> + ∆ Deuda</t>
  </si>
  <si>
    <t xml:space="preserve"> - ∆ NOF</t>
  </si>
  <si>
    <t xml:space="preserve"> - Inversiones</t>
  </si>
  <si>
    <t>CCF</t>
  </si>
  <si>
    <t>FCF</t>
  </si>
  <si>
    <t>g CF acciones</t>
  </si>
  <si>
    <t>g FCF</t>
  </si>
  <si>
    <t>impuestos / FCF</t>
  </si>
  <si>
    <t>impuestos / CFacciones</t>
  </si>
  <si>
    <t>VM / VC acciones</t>
  </si>
  <si>
    <t>PER (bfo año siguiente)</t>
  </si>
  <si>
    <t>PER (bfo año presente)</t>
  </si>
  <si>
    <t>P/CFa (año próximo)</t>
  </si>
  <si>
    <t>Beta U</t>
  </si>
  <si>
    <t>Rf</t>
  </si>
  <si>
    <t>Rm - Rf</t>
  </si>
  <si>
    <t>Ku</t>
  </si>
  <si>
    <t>VAN (Ku;FCF) 1-10</t>
  </si>
  <si>
    <t>VAN 11-</t>
  </si>
  <si>
    <t>Vu = VAN (Ku;FCF)</t>
  </si>
  <si>
    <t>FCF SIN IMPUESTOS</t>
  </si>
  <si>
    <t>VAN 1-10; Ku</t>
  </si>
  <si>
    <t>VAN 11-...;  Ku</t>
  </si>
  <si>
    <t>Vu sin impuestos (Ku)</t>
  </si>
  <si>
    <t>VAN 1-10</t>
  </si>
  <si>
    <t>D</t>
  </si>
  <si>
    <t>Kd</t>
  </si>
  <si>
    <t>Beta d</t>
  </si>
  <si>
    <t>D T Ku</t>
  </si>
  <si>
    <t>VAN(Ku;DTKu) = DVTS</t>
  </si>
  <si>
    <t>DVTS + Vu</t>
  </si>
  <si>
    <t xml:space="preserve"> - D =</t>
  </si>
  <si>
    <t>E 1</t>
  </si>
  <si>
    <t>Beta E</t>
  </si>
  <si>
    <t>Ke</t>
  </si>
  <si>
    <t>1  /  [(1+Ke1)x(1+Ke2)..]</t>
  </si>
  <si>
    <t>CF acciones = Dividendos</t>
  </si>
  <si>
    <t>VANo  CFacc t</t>
  </si>
  <si>
    <t>E 2 = VAN(Ke;CFac)</t>
  </si>
  <si>
    <t>Et = Et-1 * (1+Ke) - CFac</t>
  </si>
  <si>
    <t>WACC</t>
  </si>
  <si>
    <t>1  /  [(1+wacc1)x(1+wacc2)..]</t>
  </si>
  <si>
    <t>VANo  FCF t</t>
  </si>
  <si>
    <t>VAN(WACC;FCF)</t>
  </si>
  <si>
    <t>E 3</t>
  </si>
  <si>
    <r>
      <t>WACC</t>
    </r>
    <r>
      <rPr>
        <b/>
        <vertAlign val="subscript"/>
        <sz val="9"/>
        <rFont val="Tms Rmn"/>
        <family val="0"/>
      </rPr>
      <t>BT</t>
    </r>
  </si>
  <si>
    <r>
      <t>VAN(WACC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</si>
  <si>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t>E 4</t>
  </si>
  <si>
    <t>CFacciones</t>
  </si>
  <si>
    <t>g=2%</t>
  </si>
  <si>
    <t>r</t>
  </si>
  <si>
    <t>CFd</t>
  </si>
  <si>
    <t>Factor descuento</t>
  </si>
  <si>
    <t>PV CF</t>
  </si>
  <si>
    <t>N</t>
  </si>
  <si>
    <t>Caso general. Kd = 7%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</si>
</sst>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d/m/yy\ h:mm"/>
    <numFmt numFmtId="173" formatCode="0.000000"/>
    <numFmt numFmtId="174" formatCode="0.0000%"/>
    <numFmt numFmtId="175" formatCode="0.0000"/>
    <numFmt numFmtId="176" formatCode="0.0000000"/>
    <numFmt numFmtId="177" formatCode="0.000%"/>
    <numFmt numFmtId="178" formatCode="#,##0.0"/>
    <numFmt numFmtId="179" formatCode="0.0%"/>
    <numFmt numFmtId="180" formatCode="0.0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3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i/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b/>
      <sz val="10"/>
      <name val="Tms Rmn"/>
      <family val="0"/>
    </font>
    <font>
      <b/>
      <vertAlign val="subscript"/>
      <sz val="9"/>
      <name val="Tms Rmn"/>
      <family val="0"/>
    </font>
    <font>
      <vertAlign val="subscript"/>
      <sz val="9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10" fontId="5" fillId="0" borderId="1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0" fontId="6" fillId="0" borderId="2" xfId="0" applyNumberFormat="1" applyFont="1" applyBorder="1" applyAlignment="1">
      <alignment/>
    </xf>
    <xf numFmtId="10" fontId="5" fillId="0" borderId="1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left"/>
    </xf>
    <xf numFmtId="10" fontId="5" fillId="0" borderId="3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1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6" fillId="0" borderId="0" xfId="0" applyNumberFormat="1" applyFont="1" applyAlignment="1">
      <alignment/>
    </xf>
    <xf numFmtId="10" fontId="5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7" fillId="0" borderId="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0" fontId="7" fillId="0" borderId="0" xfId="0" applyNumberFormat="1" applyFont="1" applyAlignment="1">
      <alignment/>
    </xf>
    <xf numFmtId="4" fontId="7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78" fontId="0" fillId="0" borderId="6" xfId="0" applyNumberFormat="1" applyBorder="1" applyAlignment="1">
      <alignment/>
    </xf>
    <xf numFmtId="178" fontId="0" fillId="0" borderId="6" xfId="0" applyNumberFormat="1" applyBorder="1" applyAlignment="1">
      <alignment horizontal="right"/>
    </xf>
    <xf numFmtId="178" fontId="7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178" fontId="7" fillId="0" borderId="6" xfId="0" applyNumberFormat="1" applyFont="1" applyBorder="1" applyAlignment="1">
      <alignment horizontal="right"/>
    </xf>
    <xf numFmtId="10" fontId="5" fillId="0" borderId="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4" fontId="7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7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0" fontId="6" fillId="0" borderId="1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10" fontId="6" fillId="0" borderId="6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79" fontId="6" fillId="0" borderId="5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0" fontId="7" fillId="0" borderId="6" xfId="0" applyNumberFormat="1" applyFont="1" applyBorder="1" applyAlignment="1">
      <alignment/>
    </xf>
    <xf numFmtId="9" fontId="6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175" fontId="0" fillId="0" borderId="6" xfId="0" applyNumberFormat="1" applyFont="1" applyBorder="1" applyAlignment="1">
      <alignment/>
    </xf>
    <xf numFmtId="173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178" fontId="0" fillId="0" borderId="5" xfId="0" applyNumberFormat="1" applyFont="1" applyBorder="1" applyAlignment="1">
      <alignment/>
    </xf>
    <xf numFmtId="0" fontId="7" fillId="0" borderId="8" xfId="0" applyFont="1" applyBorder="1" applyAlignment="1">
      <alignment/>
    </xf>
    <xf numFmtId="9" fontId="5" fillId="0" borderId="9" xfId="0" applyNumberFormat="1" applyFont="1" applyBorder="1" applyAlignment="1">
      <alignment/>
    </xf>
    <xf numFmtId="9" fontId="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75" fontId="0" fillId="0" borderId="5" xfId="0" applyNumberFormat="1" applyFont="1" applyBorder="1" applyAlignment="1">
      <alignment/>
    </xf>
    <xf numFmtId="175" fontId="0" fillId="0" borderId="5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1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0" fontId="0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0" fontId="0" fillId="0" borderId="2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10" fontId="7" fillId="0" borderId="4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78" fontId="0" fillId="0" borderId="15" xfId="0" applyNumberFormat="1" applyBorder="1" applyAlignment="1">
      <alignment/>
    </xf>
    <xf numFmtId="178" fontId="0" fillId="0" borderId="6" xfId="0" applyNumberFormat="1" applyFont="1" applyBorder="1" applyAlignment="1">
      <alignment/>
    </xf>
    <xf numFmtId="178" fontId="7" fillId="0" borderId="5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0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0" fontId="0" fillId="0" borderId="0" xfId="0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5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8" fontId="0" fillId="0" borderId="9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79" fontId="7" fillId="0" borderId="0" xfId="0" applyNumberFormat="1" applyFont="1" applyAlignment="1">
      <alignment/>
    </xf>
    <xf numFmtId="9" fontId="0" fillId="0" borderId="6" xfId="19" applyFont="1" applyBorder="1" applyAlignment="1">
      <alignment/>
    </xf>
    <xf numFmtId="178" fontId="7" fillId="0" borderId="9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9" fontId="0" fillId="0" borderId="0" xfId="19" applyFont="1" applyBorder="1" applyAlignment="1">
      <alignment/>
    </xf>
    <xf numFmtId="4" fontId="0" fillId="0" borderId="6" xfId="19" applyNumberFormat="1" applyFont="1" applyBorder="1" applyAlignment="1">
      <alignment/>
    </xf>
    <xf numFmtId="4" fontId="0" fillId="0" borderId="0" xfId="19" applyNumberFormat="1" applyFont="1" applyBorder="1" applyAlignment="1">
      <alignment/>
    </xf>
    <xf numFmtId="3" fontId="0" fillId="0" borderId="6" xfId="19" applyNumberFormat="1" applyFont="1" applyBorder="1" applyAlignment="1">
      <alignment/>
    </xf>
    <xf numFmtId="0" fontId="7" fillId="0" borderId="0" xfId="0" applyFont="1" applyAlignment="1">
      <alignment horizontal="left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workbookViewId="0" topLeftCell="A54">
      <pane xSplit="11865" topLeftCell="AB1" activePane="topLeft" state="split"/>
      <selection pane="topLeft" activeCell="J108" sqref="J108"/>
      <selection pane="topRight" activeCell="R17" sqref="R17"/>
    </sheetView>
  </sheetViews>
  <sheetFormatPr defaultColWidth="11.00390625" defaultRowHeight="12"/>
  <cols>
    <col min="1" max="1" width="3.625" style="18" customWidth="1"/>
    <col min="2" max="2" width="5.375" style="5" customWidth="1"/>
    <col min="3" max="3" width="22.375" style="5" customWidth="1"/>
    <col min="4" max="5" width="10.25390625" style="5" bestFit="1" customWidth="1"/>
    <col min="6" max="6" width="10.625" style="5" customWidth="1"/>
    <col min="7" max="9" width="10.25390625" style="5" bestFit="1" customWidth="1"/>
    <col min="10" max="14" width="10.25390625" style="0" bestFit="1" customWidth="1"/>
    <col min="15" max="15" width="10.625" style="0" bestFit="1" customWidth="1"/>
    <col min="16" max="16" width="9.625" style="0" customWidth="1"/>
    <col min="29" max="16384" width="11.00390625" style="5" customWidth="1"/>
  </cols>
  <sheetData>
    <row r="1" spans="1:9" ht="12.75">
      <c r="A1" s="19"/>
      <c r="B1" s="24"/>
      <c r="C1" s="13"/>
      <c r="D1" s="174">
        <f>H3</f>
        <v>0.3</v>
      </c>
      <c r="E1"/>
      <c r="F1" s="8"/>
      <c r="G1" s="24"/>
      <c r="H1" s="16"/>
      <c r="I1" s="20" t="s">
        <v>0</v>
      </c>
    </row>
    <row r="2" spans="1:9" ht="12.75">
      <c r="A2" s="19"/>
      <c r="B2" s="24"/>
      <c r="C2" s="13"/>
      <c r="D2" s="13"/>
      <c r="E2"/>
      <c r="F2" s="8"/>
      <c r="G2" s="24"/>
      <c r="H2" s="16"/>
      <c r="I2" s="20" t="s">
        <v>83</v>
      </c>
    </row>
    <row r="3" spans="1:8" s="7" customFormat="1" ht="9" customHeight="1">
      <c r="A3" s="19"/>
      <c r="B3" s="25" t="s">
        <v>1</v>
      </c>
      <c r="C3" s="183">
        <f>D15</f>
        <v>1800</v>
      </c>
      <c r="D3" s="183"/>
      <c r="E3" s="25" t="s">
        <v>2</v>
      </c>
      <c r="F3" s="46">
        <f>O4</f>
        <v>0.02</v>
      </c>
      <c r="G3" s="25" t="s">
        <v>3</v>
      </c>
      <c r="H3" s="10">
        <v>0.3</v>
      </c>
    </row>
    <row r="4" spans="1:15" ht="9" customHeight="1">
      <c r="A4" s="19"/>
      <c r="B4" s="24"/>
      <c r="C4" s="13"/>
      <c r="D4" s="75"/>
      <c r="E4" s="12"/>
      <c r="F4" s="76"/>
      <c r="G4" s="12"/>
      <c r="H4" s="1"/>
      <c r="I4" s="39"/>
      <c r="J4" s="77"/>
      <c r="K4" s="77"/>
      <c r="L4" s="77"/>
      <c r="M4" s="77"/>
      <c r="N4" s="78" t="s">
        <v>77</v>
      </c>
      <c r="O4" s="17">
        <v>0.02</v>
      </c>
    </row>
    <row r="5" spans="1:28" ht="12" customHeight="1">
      <c r="A5" s="19"/>
      <c r="B5"/>
      <c r="C5"/>
      <c r="D5" s="78">
        <v>0</v>
      </c>
      <c r="E5" s="78">
        <v>1</v>
      </c>
      <c r="F5" s="78">
        <f aca="true" t="shared" si="0" ref="F5:O5">E5+1</f>
        <v>2</v>
      </c>
      <c r="G5" s="78">
        <f t="shared" si="0"/>
        <v>3</v>
      </c>
      <c r="H5" s="78">
        <f t="shared" si="0"/>
        <v>4</v>
      </c>
      <c r="I5" s="78">
        <f t="shared" si="0"/>
        <v>5</v>
      </c>
      <c r="J5" s="78">
        <f t="shared" si="0"/>
        <v>6</v>
      </c>
      <c r="K5" s="78">
        <f t="shared" si="0"/>
        <v>7</v>
      </c>
      <c r="L5" s="78">
        <f t="shared" si="0"/>
        <v>8</v>
      </c>
      <c r="M5" s="78">
        <f t="shared" si="0"/>
        <v>9</v>
      </c>
      <c r="N5" s="78">
        <f t="shared" si="0"/>
        <v>10</v>
      </c>
      <c r="O5" s="12">
        <f t="shared" si="0"/>
        <v>11</v>
      </c>
      <c r="P5" s="12">
        <f aca="true" t="shared" si="1" ref="P5:AB5">O5+1</f>
        <v>12</v>
      </c>
      <c r="Q5" s="12">
        <f t="shared" si="1"/>
        <v>13</v>
      </c>
      <c r="R5" s="12">
        <f t="shared" si="1"/>
        <v>14</v>
      </c>
      <c r="S5" s="12">
        <f t="shared" si="1"/>
        <v>15</v>
      </c>
      <c r="T5" s="12">
        <f t="shared" si="1"/>
        <v>16</v>
      </c>
      <c r="U5" s="24">
        <f t="shared" si="1"/>
        <v>17</v>
      </c>
      <c r="V5" s="24">
        <f t="shared" si="1"/>
        <v>18</v>
      </c>
      <c r="W5" s="24">
        <f t="shared" si="1"/>
        <v>19</v>
      </c>
      <c r="X5" s="24">
        <f t="shared" si="1"/>
        <v>20</v>
      </c>
      <c r="Y5" s="24">
        <f t="shared" si="1"/>
        <v>21</v>
      </c>
      <c r="Z5" s="24">
        <f t="shared" si="1"/>
        <v>22</v>
      </c>
      <c r="AA5" s="24">
        <f t="shared" si="1"/>
        <v>23</v>
      </c>
      <c r="AB5" s="24">
        <f t="shared" si="1"/>
        <v>24</v>
      </c>
    </row>
    <row r="6" spans="1:28" ht="12" customHeight="1">
      <c r="A6" s="124">
        <v>1</v>
      </c>
      <c r="B6" s="117"/>
      <c r="C6" s="118" t="s">
        <v>4</v>
      </c>
      <c r="D6" s="127">
        <f>D17-D7-D8-D11</f>
        <v>100</v>
      </c>
      <c r="E6" s="128">
        <f>INT(E24/30)</f>
        <v>106</v>
      </c>
      <c r="F6" s="128">
        <f aca="true" t="shared" si="2" ref="F6:M6">INT(F24/30)</f>
        <v>113</v>
      </c>
      <c r="G6" s="128">
        <f t="shared" si="2"/>
        <v>120</v>
      </c>
      <c r="H6" s="128">
        <f t="shared" si="2"/>
        <v>126</v>
      </c>
      <c r="I6" s="128">
        <f t="shared" si="2"/>
        <v>133</v>
      </c>
      <c r="J6" s="128">
        <f t="shared" si="2"/>
        <v>140</v>
      </c>
      <c r="K6" s="128">
        <f t="shared" si="2"/>
        <v>146</v>
      </c>
      <c r="L6" s="128">
        <f t="shared" si="2"/>
        <v>153</v>
      </c>
      <c r="M6" s="128">
        <f t="shared" si="2"/>
        <v>156</v>
      </c>
      <c r="N6" s="139">
        <f aca="true" t="shared" si="3" ref="N6:AB6">M6*(1+$O$4)</f>
        <v>159.12</v>
      </c>
      <c r="O6" s="4">
        <f t="shared" si="3"/>
        <v>162.3024</v>
      </c>
      <c r="P6" s="4">
        <f t="shared" si="3"/>
        <v>165.548448</v>
      </c>
      <c r="Q6" s="4">
        <f t="shared" si="3"/>
        <v>168.85941696</v>
      </c>
      <c r="R6" s="4">
        <f t="shared" si="3"/>
        <v>172.2366052992</v>
      </c>
      <c r="S6" s="4">
        <f t="shared" si="3"/>
        <v>175.681337405184</v>
      </c>
      <c r="T6" s="4">
        <f t="shared" si="3"/>
        <v>179.19496415328769</v>
      </c>
      <c r="U6" s="4">
        <f t="shared" si="3"/>
        <v>182.77886343635345</v>
      </c>
      <c r="V6" s="4">
        <f t="shared" si="3"/>
        <v>186.43444070508053</v>
      </c>
      <c r="W6" s="4">
        <f t="shared" si="3"/>
        <v>190.16312951918215</v>
      </c>
      <c r="X6" s="4">
        <f t="shared" si="3"/>
        <v>193.9663921095658</v>
      </c>
      <c r="Y6" s="4">
        <f t="shared" si="3"/>
        <v>197.8457199517571</v>
      </c>
      <c r="Z6" s="4">
        <f t="shared" si="3"/>
        <v>201.80263435079226</v>
      </c>
      <c r="AA6" s="4">
        <f t="shared" si="3"/>
        <v>205.8386870378081</v>
      </c>
      <c r="AB6" s="4">
        <f t="shared" si="3"/>
        <v>209.9554607785643</v>
      </c>
    </row>
    <row r="7" spans="1:28" ht="12" customHeight="1">
      <c r="A7" s="125">
        <v>2</v>
      </c>
      <c r="B7" s="120"/>
      <c r="C7" s="121" t="s">
        <v>5</v>
      </c>
      <c r="D7" s="54">
        <v>900</v>
      </c>
      <c r="E7" s="55">
        <f aca="true" t="shared" si="4" ref="E7:N7">0.3*E24</f>
        <v>960</v>
      </c>
      <c r="F7" s="55">
        <f t="shared" si="4"/>
        <v>1020</v>
      </c>
      <c r="G7" s="55">
        <f t="shared" si="4"/>
        <v>1080</v>
      </c>
      <c r="H7" s="55">
        <f t="shared" si="4"/>
        <v>1140</v>
      </c>
      <c r="I7" s="55">
        <f t="shared" si="4"/>
        <v>1200</v>
      </c>
      <c r="J7" s="57">
        <f t="shared" si="4"/>
        <v>1260</v>
      </c>
      <c r="K7" s="57">
        <f t="shared" si="4"/>
        <v>1320</v>
      </c>
      <c r="L7" s="52">
        <f t="shared" si="4"/>
        <v>1380</v>
      </c>
      <c r="M7" s="52">
        <f t="shared" si="4"/>
        <v>1407.6</v>
      </c>
      <c r="N7" s="52">
        <f t="shared" si="4"/>
        <v>1435.752</v>
      </c>
      <c r="O7" s="34">
        <f aca="true" t="shared" si="5" ref="O7:AB7">0.3*O24</f>
        <v>1464.46704</v>
      </c>
      <c r="P7" s="34">
        <f t="shared" si="5"/>
        <v>1493.7563808</v>
      </c>
      <c r="Q7" s="34">
        <f t="shared" si="5"/>
        <v>1523.631508416</v>
      </c>
      <c r="R7" s="34">
        <f t="shared" si="5"/>
        <v>1554.10413858432</v>
      </c>
      <c r="S7" s="34">
        <f t="shared" si="5"/>
        <v>1585.1862213560064</v>
      </c>
      <c r="T7" s="34">
        <f t="shared" si="5"/>
        <v>1616.8899457831267</v>
      </c>
      <c r="U7" s="34">
        <f t="shared" si="5"/>
        <v>1649.2277446987894</v>
      </c>
      <c r="V7" s="34">
        <f t="shared" si="5"/>
        <v>1682.2122995927652</v>
      </c>
      <c r="W7" s="34">
        <f t="shared" si="5"/>
        <v>1715.8565455846203</v>
      </c>
      <c r="X7" s="34">
        <f t="shared" si="5"/>
        <v>1750.1736764963127</v>
      </c>
      <c r="Y7" s="34">
        <f t="shared" si="5"/>
        <v>1785.1771500262391</v>
      </c>
      <c r="Z7" s="34">
        <f t="shared" si="5"/>
        <v>1820.8806930267638</v>
      </c>
      <c r="AA7" s="34">
        <f t="shared" si="5"/>
        <v>1857.2983068872988</v>
      </c>
      <c r="AB7" s="34">
        <f t="shared" si="5"/>
        <v>1894.4442730250448</v>
      </c>
    </row>
    <row r="8" spans="1:28" ht="12" customHeight="1">
      <c r="A8" s="125">
        <v>3</v>
      </c>
      <c r="B8" s="120"/>
      <c r="C8" s="121" t="s">
        <v>6</v>
      </c>
      <c r="D8" s="54">
        <v>300</v>
      </c>
      <c r="E8" s="55">
        <f aca="true" t="shared" si="6" ref="E8:N8">0.2*E25</f>
        <v>352.00000000000006</v>
      </c>
      <c r="F8" s="55">
        <f t="shared" si="6"/>
        <v>374.00000000000006</v>
      </c>
      <c r="G8" s="55">
        <f t="shared" si="6"/>
        <v>396.00000000000006</v>
      </c>
      <c r="H8" s="55">
        <f t="shared" si="6"/>
        <v>418</v>
      </c>
      <c r="I8" s="55">
        <f t="shared" si="6"/>
        <v>440</v>
      </c>
      <c r="J8" s="57">
        <f t="shared" si="6"/>
        <v>462</v>
      </c>
      <c r="K8" s="57">
        <f t="shared" si="6"/>
        <v>484</v>
      </c>
      <c r="L8" s="52">
        <f t="shared" si="6"/>
        <v>506</v>
      </c>
      <c r="M8" s="52">
        <f t="shared" si="6"/>
        <v>516.1200000000001</v>
      </c>
      <c r="N8" s="52">
        <f t="shared" si="6"/>
        <v>526.4424000000001</v>
      </c>
      <c r="O8" s="34">
        <f aca="true" t="shared" si="7" ref="O8:AB8">0.2*O25</f>
        <v>536.9712480000002</v>
      </c>
      <c r="P8" s="34">
        <f t="shared" si="7"/>
        <v>547.7106729600001</v>
      </c>
      <c r="Q8" s="34">
        <f t="shared" si="7"/>
        <v>558.6648864192001</v>
      </c>
      <c r="R8" s="34">
        <f t="shared" si="7"/>
        <v>569.8381841475841</v>
      </c>
      <c r="S8" s="34">
        <f t="shared" si="7"/>
        <v>581.2349478305358</v>
      </c>
      <c r="T8" s="34">
        <f t="shared" si="7"/>
        <v>592.8596467871465</v>
      </c>
      <c r="U8" s="34">
        <f t="shared" si="7"/>
        <v>604.7168397228895</v>
      </c>
      <c r="V8" s="34">
        <f t="shared" si="7"/>
        <v>616.8111765173473</v>
      </c>
      <c r="W8" s="34">
        <f t="shared" si="7"/>
        <v>629.1474000476942</v>
      </c>
      <c r="X8" s="34">
        <f t="shared" si="7"/>
        <v>641.7303480486481</v>
      </c>
      <c r="Y8" s="34">
        <f t="shared" si="7"/>
        <v>654.564955009621</v>
      </c>
      <c r="Z8" s="34">
        <f t="shared" si="7"/>
        <v>667.6562541098135</v>
      </c>
      <c r="AA8" s="34">
        <f t="shared" si="7"/>
        <v>681.0093791920098</v>
      </c>
      <c r="AB8" s="34">
        <f t="shared" si="7"/>
        <v>694.62956677585</v>
      </c>
    </row>
    <row r="9" spans="1:28" ht="12" customHeight="1">
      <c r="A9" s="125">
        <v>4</v>
      </c>
      <c r="B9" s="120"/>
      <c r="C9" s="121" t="s">
        <v>7</v>
      </c>
      <c r="D9" s="58">
        <v>1500</v>
      </c>
      <c r="E9" s="58">
        <v>1800</v>
      </c>
      <c r="F9" s="58">
        <v>2700</v>
      </c>
      <c r="G9" s="58">
        <v>3100</v>
      </c>
      <c r="H9" s="58">
        <v>3300</v>
      </c>
      <c r="I9" s="58">
        <v>3500</v>
      </c>
      <c r="J9" s="56">
        <v>3900</v>
      </c>
      <c r="K9" s="56">
        <f aca="true" t="shared" si="8" ref="K9:T9">J9+K10-J10</f>
        <v>4204</v>
      </c>
      <c r="L9" s="51">
        <f t="shared" si="8"/>
        <v>4514.08</v>
      </c>
      <c r="M9" s="51">
        <f t="shared" si="8"/>
        <v>4830.3616</v>
      </c>
      <c r="N9" s="51">
        <f t="shared" si="8"/>
        <v>5152.968831999999</v>
      </c>
      <c r="O9" s="4">
        <f t="shared" si="8"/>
        <v>5482.028208639999</v>
      </c>
      <c r="P9" s="4">
        <f t="shared" si="8"/>
        <v>5817.668772812799</v>
      </c>
      <c r="Q9" s="4">
        <f t="shared" si="8"/>
        <v>6160.022148269055</v>
      </c>
      <c r="R9" s="4">
        <f t="shared" si="8"/>
        <v>6509.222591234436</v>
      </c>
      <c r="S9" s="4">
        <f t="shared" si="8"/>
        <v>6865.407043059125</v>
      </c>
      <c r="T9" s="4">
        <f t="shared" si="8"/>
        <v>7228.715183920306</v>
      </c>
      <c r="U9" s="4">
        <f aca="true" t="shared" si="9" ref="U9:AB9">T9+U10-T10</f>
        <v>7599.289487598711</v>
      </c>
      <c r="V9" s="4">
        <f t="shared" si="9"/>
        <v>7977.275277350685</v>
      </c>
      <c r="W9" s="4">
        <f t="shared" si="9"/>
        <v>8362.8207828977</v>
      </c>
      <c r="X9" s="4">
        <f t="shared" si="9"/>
        <v>8756.077198555653</v>
      </c>
      <c r="Y9" s="4">
        <f t="shared" si="9"/>
        <v>9157.198742526767</v>
      </c>
      <c r="Z9" s="4">
        <f t="shared" si="9"/>
        <v>9566.342717377302</v>
      </c>
      <c r="AA9" s="4">
        <f t="shared" si="9"/>
        <v>9983.66957172485</v>
      </c>
      <c r="AB9" s="4">
        <f t="shared" si="9"/>
        <v>10409.342963159348</v>
      </c>
    </row>
    <row r="10" spans="1:28" ht="12" customHeight="1">
      <c r="A10" s="125">
        <v>5</v>
      </c>
      <c r="B10" s="120"/>
      <c r="C10" s="121" t="s">
        <v>8</v>
      </c>
      <c r="D10" s="54">
        <v>200</v>
      </c>
      <c r="E10" s="58">
        <f aca="true" t="shared" si="10" ref="E10:N10">D10+E27</f>
        <v>550</v>
      </c>
      <c r="F10" s="58">
        <f t="shared" si="10"/>
        <v>900</v>
      </c>
      <c r="G10" s="58">
        <f t="shared" si="10"/>
        <v>1300</v>
      </c>
      <c r="H10" s="58">
        <f t="shared" si="10"/>
        <v>1800</v>
      </c>
      <c r="I10" s="58">
        <f t="shared" si="10"/>
        <v>2100</v>
      </c>
      <c r="J10" s="56">
        <f t="shared" si="10"/>
        <v>2380</v>
      </c>
      <c r="K10" s="56">
        <f t="shared" si="10"/>
        <v>2684</v>
      </c>
      <c r="L10" s="51">
        <f t="shared" si="10"/>
        <v>2994.08</v>
      </c>
      <c r="M10" s="51">
        <f t="shared" si="10"/>
        <v>3310.3615999999997</v>
      </c>
      <c r="N10" s="51">
        <f t="shared" si="10"/>
        <v>3632.9688319999996</v>
      </c>
      <c r="O10" s="4">
        <f aca="true" t="shared" si="11" ref="O10:AB10">N10+O27</f>
        <v>3962.0282086399993</v>
      </c>
      <c r="P10" s="4">
        <f t="shared" si="11"/>
        <v>4297.668772812799</v>
      </c>
      <c r="Q10" s="4">
        <f t="shared" si="11"/>
        <v>4640.022148269055</v>
      </c>
      <c r="R10" s="4">
        <f t="shared" si="11"/>
        <v>4989.222591234436</v>
      </c>
      <c r="S10" s="4">
        <f t="shared" si="11"/>
        <v>5345.407043059125</v>
      </c>
      <c r="T10" s="4">
        <f t="shared" si="11"/>
        <v>5708.715183920307</v>
      </c>
      <c r="U10" s="4">
        <f t="shared" si="11"/>
        <v>6079.289487598713</v>
      </c>
      <c r="V10" s="4">
        <f t="shared" si="11"/>
        <v>6457.275277350687</v>
      </c>
      <c r="W10" s="4">
        <f t="shared" si="11"/>
        <v>6842.820782897701</v>
      </c>
      <c r="X10" s="4">
        <f t="shared" si="11"/>
        <v>7236.077198555655</v>
      </c>
      <c r="Y10" s="4">
        <f t="shared" si="11"/>
        <v>7637.198742526768</v>
      </c>
      <c r="Z10" s="4">
        <f t="shared" si="11"/>
        <v>8046.342717377303</v>
      </c>
      <c r="AA10" s="4">
        <f t="shared" si="11"/>
        <v>8463.66957172485</v>
      </c>
      <c r="AB10" s="4">
        <f t="shared" si="11"/>
        <v>8889.342963159346</v>
      </c>
    </row>
    <row r="11" spans="1:28" ht="12" customHeight="1">
      <c r="A11" s="125">
        <v>6</v>
      </c>
      <c r="B11" s="120"/>
      <c r="C11" s="121" t="s">
        <v>9</v>
      </c>
      <c r="D11" s="54">
        <f aca="true" t="shared" si="12" ref="D11:M11">D9-D10</f>
        <v>1300</v>
      </c>
      <c r="E11" s="55">
        <f t="shared" si="12"/>
        <v>1250</v>
      </c>
      <c r="F11" s="55">
        <f t="shared" si="12"/>
        <v>1800</v>
      </c>
      <c r="G11" s="55">
        <f t="shared" si="12"/>
        <v>1800</v>
      </c>
      <c r="H11" s="55">
        <f t="shared" si="12"/>
        <v>1500</v>
      </c>
      <c r="I11" s="55">
        <f t="shared" si="12"/>
        <v>1400</v>
      </c>
      <c r="J11" s="57">
        <f t="shared" si="12"/>
        <v>1520</v>
      </c>
      <c r="K11" s="57">
        <f t="shared" si="12"/>
        <v>1520</v>
      </c>
      <c r="L11" s="52">
        <f t="shared" si="12"/>
        <v>1520</v>
      </c>
      <c r="M11" s="52">
        <f t="shared" si="12"/>
        <v>1520.0000000000005</v>
      </c>
      <c r="N11" s="52">
        <f aca="true" t="shared" si="13" ref="N11:AB11">N9-N10</f>
        <v>1519.999999999999</v>
      </c>
      <c r="O11" s="34">
        <f t="shared" si="13"/>
        <v>1520</v>
      </c>
      <c r="P11" s="34">
        <f t="shared" si="13"/>
        <v>1520</v>
      </c>
      <c r="Q11" s="34">
        <f t="shared" si="13"/>
        <v>1520</v>
      </c>
      <c r="R11" s="34">
        <f t="shared" si="13"/>
        <v>1520</v>
      </c>
      <c r="S11" s="34">
        <f t="shared" si="13"/>
        <v>1520</v>
      </c>
      <c r="T11" s="34">
        <f t="shared" si="13"/>
        <v>1519.999999999999</v>
      </c>
      <c r="U11" s="34">
        <f t="shared" si="13"/>
        <v>1519.9999999999982</v>
      </c>
      <c r="V11" s="34">
        <f t="shared" si="13"/>
        <v>1519.9999999999982</v>
      </c>
      <c r="W11" s="34">
        <f t="shared" si="13"/>
        <v>1519.9999999999982</v>
      </c>
      <c r="X11" s="34">
        <f t="shared" si="13"/>
        <v>1519.9999999999982</v>
      </c>
      <c r="Y11" s="34">
        <f t="shared" si="13"/>
        <v>1519.999999999999</v>
      </c>
      <c r="Z11" s="34">
        <f t="shared" si="13"/>
        <v>1519.9999999999982</v>
      </c>
      <c r="AA11" s="34">
        <f t="shared" si="13"/>
        <v>1520</v>
      </c>
      <c r="AB11" s="34">
        <f t="shared" si="13"/>
        <v>1520.0000000000018</v>
      </c>
    </row>
    <row r="12" spans="1:28" s="133" customFormat="1" ht="12.75" customHeight="1">
      <c r="A12" s="126">
        <v>7</v>
      </c>
      <c r="B12" s="44"/>
      <c r="C12" s="123" t="s">
        <v>10</v>
      </c>
      <c r="D12" s="59">
        <f aca="true" t="shared" si="14" ref="D12:M12">D6+D7+D8+D11</f>
        <v>2600</v>
      </c>
      <c r="E12" s="59">
        <f t="shared" si="14"/>
        <v>2668</v>
      </c>
      <c r="F12" s="59">
        <f t="shared" si="14"/>
        <v>3307</v>
      </c>
      <c r="G12" s="59">
        <f t="shared" si="14"/>
        <v>3396</v>
      </c>
      <c r="H12" s="59">
        <f t="shared" si="14"/>
        <v>3184</v>
      </c>
      <c r="I12" s="59">
        <f t="shared" si="14"/>
        <v>3173</v>
      </c>
      <c r="J12" s="59">
        <f t="shared" si="14"/>
        <v>3382</v>
      </c>
      <c r="K12" s="59">
        <f t="shared" si="14"/>
        <v>3470</v>
      </c>
      <c r="L12" s="53">
        <f t="shared" si="14"/>
        <v>3559</v>
      </c>
      <c r="M12" s="53">
        <f t="shared" si="14"/>
        <v>3599.7200000000007</v>
      </c>
      <c r="N12" s="53">
        <f aca="true" t="shared" si="15" ref="N12:AB12">N6+N7+N8+N11</f>
        <v>3641.3143999999993</v>
      </c>
      <c r="O12" s="132">
        <f t="shared" si="15"/>
        <v>3683.7406880000003</v>
      </c>
      <c r="P12" s="132">
        <f t="shared" si="15"/>
        <v>3727.01550176</v>
      </c>
      <c r="Q12" s="132">
        <f t="shared" si="15"/>
        <v>3771.1558117952004</v>
      </c>
      <c r="R12" s="132">
        <f t="shared" si="15"/>
        <v>3816.178928031104</v>
      </c>
      <c r="S12" s="132">
        <f t="shared" si="15"/>
        <v>3862.102506591726</v>
      </c>
      <c r="T12" s="132">
        <f t="shared" si="15"/>
        <v>3908.94455672356</v>
      </c>
      <c r="U12" s="132">
        <f t="shared" si="15"/>
        <v>3956.7234478580303</v>
      </c>
      <c r="V12" s="132">
        <f t="shared" si="15"/>
        <v>4005.4579168151913</v>
      </c>
      <c r="W12" s="132">
        <f t="shared" si="15"/>
        <v>4055.167075151495</v>
      </c>
      <c r="X12" s="132">
        <f t="shared" si="15"/>
        <v>4105.870416654525</v>
      </c>
      <c r="Y12" s="132">
        <f t="shared" si="15"/>
        <v>4157.587824987617</v>
      </c>
      <c r="Z12" s="132">
        <f t="shared" si="15"/>
        <v>4210.3395814873675</v>
      </c>
      <c r="AA12" s="132">
        <f t="shared" si="15"/>
        <v>4264.146373117117</v>
      </c>
      <c r="AB12" s="132">
        <f t="shared" si="15"/>
        <v>4319.029300579461</v>
      </c>
    </row>
    <row r="13" spans="1:28" s="133" customFormat="1" ht="12.75" customHeight="1">
      <c r="A13" s="134"/>
      <c r="B13" s="74"/>
      <c r="C13" s="135"/>
      <c r="D13" s="74"/>
      <c r="E13" s="136"/>
      <c r="F13" s="136"/>
      <c r="G13" s="136"/>
      <c r="H13" s="136"/>
      <c r="I13" s="136"/>
      <c r="J13" s="136"/>
      <c r="K13" s="136"/>
      <c r="L13" s="137"/>
      <c r="M13" s="137"/>
      <c r="N13" s="137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ht="12.75" customHeight="1">
      <c r="A14" s="124">
        <v>8</v>
      </c>
      <c r="B14" s="117"/>
      <c r="C14" s="118" t="s">
        <v>11</v>
      </c>
      <c r="D14" s="127">
        <v>300</v>
      </c>
      <c r="E14" s="128">
        <f aca="true" t="shared" si="16" ref="E14:N14">0.2*E25</f>
        <v>352.00000000000006</v>
      </c>
      <c r="F14" s="128">
        <f t="shared" si="16"/>
        <v>374.00000000000006</v>
      </c>
      <c r="G14" s="128">
        <f t="shared" si="16"/>
        <v>396.00000000000006</v>
      </c>
      <c r="H14" s="128">
        <f t="shared" si="16"/>
        <v>418</v>
      </c>
      <c r="I14" s="128">
        <f t="shared" si="16"/>
        <v>440</v>
      </c>
      <c r="J14" s="129">
        <f t="shared" si="16"/>
        <v>462</v>
      </c>
      <c r="K14" s="129">
        <f t="shared" si="16"/>
        <v>484</v>
      </c>
      <c r="L14" s="130">
        <f t="shared" si="16"/>
        <v>506</v>
      </c>
      <c r="M14" s="130">
        <f t="shared" si="16"/>
        <v>516.1200000000001</v>
      </c>
      <c r="N14" s="130">
        <f t="shared" si="16"/>
        <v>526.4424000000001</v>
      </c>
      <c r="O14" s="34">
        <f aca="true" t="shared" si="17" ref="O14:AB14">0.2*O25</f>
        <v>536.9712480000002</v>
      </c>
      <c r="P14" s="34">
        <f t="shared" si="17"/>
        <v>547.7106729600001</v>
      </c>
      <c r="Q14" s="34">
        <f t="shared" si="17"/>
        <v>558.6648864192001</v>
      </c>
      <c r="R14" s="34">
        <f t="shared" si="17"/>
        <v>569.8381841475841</v>
      </c>
      <c r="S14" s="34">
        <f t="shared" si="17"/>
        <v>581.2349478305358</v>
      </c>
      <c r="T14" s="34">
        <f t="shared" si="17"/>
        <v>592.8596467871465</v>
      </c>
      <c r="U14" s="34">
        <f t="shared" si="17"/>
        <v>604.7168397228895</v>
      </c>
      <c r="V14" s="34">
        <f t="shared" si="17"/>
        <v>616.8111765173473</v>
      </c>
      <c r="W14" s="34">
        <f t="shared" si="17"/>
        <v>629.1474000476942</v>
      </c>
      <c r="X14" s="34">
        <f t="shared" si="17"/>
        <v>641.7303480486481</v>
      </c>
      <c r="Y14" s="34">
        <f t="shared" si="17"/>
        <v>654.564955009621</v>
      </c>
      <c r="Z14" s="34">
        <f t="shared" si="17"/>
        <v>667.6562541098135</v>
      </c>
      <c r="AA14" s="34">
        <f t="shared" si="17"/>
        <v>681.0093791920098</v>
      </c>
      <c r="AB14" s="34">
        <f t="shared" si="17"/>
        <v>694.62956677585</v>
      </c>
    </row>
    <row r="15" spans="1:28" ht="12" customHeight="1">
      <c r="A15" s="125">
        <v>9</v>
      </c>
      <c r="B15" s="120"/>
      <c r="C15" s="121" t="s">
        <v>12</v>
      </c>
      <c r="D15" s="58">
        <v>1800</v>
      </c>
      <c r="E15" s="58">
        <v>1800</v>
      </c>
      <c r="F15" s="58">
        <v>2300</v>
      </c>
      <c r="G15" s="58">
        <v>2300</v>
      </c>
      <c r="H15" s="58">
        <v>2000</v>
      </c>
      <c r="I15" s="58">
        <v>1800</v>
      </c>
      <c r="J15" s="56">
        <v>1700</v>
      </c>
      <c r="K15" s="56">
        <v>1500</v>
      </c>
      <c r="L15" s="51">
        <v>1300</v>
      </c>
      <c r="M15" s="51">
        <v>1000</v>
      </c>
      <c r="N15" s="51">
        <f aca="true" t="shared" si="18" ref="N15:AB15">M15*(1+$O$4)</f>
        <v>1020</v>
      </c>
      <c r="O15" s="4">
        <f t="shared" si="18"/>
        <v>1040.4</v>
      </c>
      <c r="P15" s="4">
        <f t="shared" si="18"/>
        <v>1061.208</v>
      </c>
      <c r="Q15" s="4">
        <f t="shared" si="18"/>
        <v>1082.43216</v>
      </c>
      <c r="R15" s="4">
        <f t="shared" si="18"/>
        <v>1104.0808032</v>
      </c>
      <c r="S15" s="4">
        <f t="shared" si="18"/>
        <v>1126.162419264</v>
      </c>
      <c r="T15" s="4">
        <f t="shared" si="18"/>
        <v>1148.68566764928</v>
      </c>
      <c r="U15" s="4">
        <f t="shared" si="18"/>
        <v>1171.6593810022657</v>
      </c>
      <c r="V15" s="4">
        <f t="shared" si="18"/>
        <v>1195.092568622311</v>
      </c>
      <c r="W15" s="4">
        <f t="shared" si="18"/>
        <v>1218.9944199947574</v>
      </c>
      <c r="X15" s="4">
        <f t="shared" si="18"/>
        <v>1243.3743083946526</v>
      </c>
      <c r="Y15" s="4">
        <f t="shared" si="18"/>
        <v>1268.2417945625457</v>
      </c>
      <c r="Z15" s="4">
        <f t="shared" si="18"/>
        <v>1293.6066304537967</v>
      </c>
      <c r="AA15" s="4">
        <f t="shared" si="18"/>
        <v>1319.4787630628728</v>
      </c>
      <c r="AB15" s="4">
        <f t="shared" si="18"/>
        <v>1345.8683383241303</v>
      </c>
    </row>
    <row r="16" spans="1:28" ht="12" customHeight="1">
      <c r="A16" s="125">
        <v>10</v>
      </c>
      <c r="B16" s="120"/>
      <c r="C16" s="121" t="s">
        <v>13</v>
      </c>
      <c r="D16" s="54">
        <v>500</v>
      </c>
      <c r="E16" s="55">
        <f aca="true" t="shared" si="19" ref="E16:N16">D16+E32-E40</f>
        <v>516</v>
      </c>
      <c r="F16" s="55">
        <f t="shared" si="19"/>
        <v>633</v>
      </c>
      <c r="G16" s="55">
        <f t="shared" si="19"/>
        <v>700</v>
      </c>
      <c r="H16" s="55">
        <f t="shared" si="19"/>
        <v>766</v>
      </c>
      <c r="I16" s="55">
        <f t="shared" si="19"/>
        <v>933</v>
      </c>
      <c r="J16" s="57">
        <f t="shared" si="19"/>
        <v>1220</v>
      </c>
      <c r="K16" s="57">
        <f t="shared" si="19"/>
        <v>1486</v>
      </c>
      <c r="L16" s="52">
        <f t="shared" si="19"/>
        <v>1752.9999999999998</v>
      </c>
      <c r="M16" s="52">
        <f t="shared" si="19"/>
        <v>2083.6000000000004</v>
      </c>
      <c r="N16" s="52">
        <f t="shared" si="19"/>
        <v>2094.871999999999</v>
      </c>
      <c r="O16" s="34">
        <f aca="true" t="shared" si="20" ref="O16:AB16">N16+O32-O40</f>
        <v>2106.3694399999995</v>
      </c>
      <c r="P16" s="34">
        <f t="shared" si="20"/>
        <v>2118.096828799999</v>
      </c>
      <c r="Q16" s="34">
        <f t="shared" si="20"/>
        <v>2130.0587653759994</v>
      </c>
      <c r="R16" s="34">
        <f t="shared" si="20"/>
        <v>2142.259940683519</v>
      </c>
      <c r="S16" s="34">
        <f t="shared" si="20"/>
        <v>2154.7051394971895</v>
      </c>
      <c r="T16" s="34">
        <f t="shared" si="20"/>
        <v>2167.3992422871324</v>
      </c>
      <c r="U16" s="34">
        <f t="shared" si="20"/>
        <v>2180.3472271328747</v>
      </c>
      <c r="V16" s="34">
        <f t="shared" si="20"/>
        <v>2193.5541716755324</v>
      </c>
      <c r="W16" s="34">
        <f t="shared" si="20"/>
        <v>2207.025255109043</v>
      </c>
      <c r="X16" s="34">
        <f t="shared" si="20"/>
        <v>2220.765760211224</v>
      </c>
      <c r="Y16" s="34">
        <f t="shared" si="20"/>
        <v>2234.78107541545</v>
      </c>
      <c r="Z16" s="34">
        <f t="shared" si="20"/>
        <v>2249.0766969237575</v>
      </c>
      <c r="AA16" s="34">
        <f t="shared" si="20"/>
        <v>2263.6582308622346</v>
      </c>
      <c r="AB16" s="34">
        <f t="shared" si="20"/>
        <v>2278.531395479481</v>
      </c>
    </row>
    <row r="17" spans="1:28" s="39" customFormat="1" ht="12" customHeight="1">
      <c r="A17" s="126">
        <v>11</v>
      </c>
      <c r="B17" s="44"/>
      <c r="C17" s="123" t="s">
        <v>14</v>
      </c>
      <c r="D17" s="59">
        <f aca="true" t="shared" si="21" ref="D17:M17">D14+D15+D16</f>
        <v>2600</v>
      </c>
      <c r="E17" s="59">
        <f t="shared" si="21"/>
        <v>2668</v>
      </c>
      <c r="F17" s="59">
        <f t="shared" si="21"/>
        <v>3307</v>
      </c>
      <c r="G17" s="59">
        <f t="shared" si="21"/>
        <v>3396</v>
      </c>
      <c r="H17" s="59">
        <f t="shared" si="21"/>
        <v>3184</v>
      </c>
      <c r="I17" s="59">
        <f t="shared" si="21"/>
        <v>3173</v>
      </c>
      <c r="J17" s="59">
        <f t="shared" si="21"/>
        <v>3382</v>
      </c>
      <c r="K17" s="59">
        <f t="shared" si="21"/>
        <v>3470</v>
      </c>
      <c r="L17" s="53">
        <f t="shared" si="21"/>
        <v>3559</v>
      </c>
      <c r="M17" s="53">
        <f t="shared" si="21"/>
        <v>3599.7200000000003</v>
      </c>
      <c r="N17" s="53">
        <f aca="true" t="shared" si="22" ref="N17:AB17">N14+N15+N16</f>
        <v>3641.3143999999993</v>
      </c>
      <c r="O17" s="49">
        <f t="shared" si="22"/>
        <v>3683.740688</v>
      </c>
      <c r="P17" s="49">
        <f t="shared" si="22"/>
        <v>3727.015501759999</v>
      </c>
      <c r="Q17" s="49">
        <f t="shared" si="22"/>
        <v>3771.1558117951995</v>
      </c>
      <c r="R17" s="49">
        <f t="shared" si="22"/>
        <v>3816.178928031103</v>
      </c>
      <c r="S17" s="49">
        <f t="shared" si="22"/>
        <v>3862.102506591725</v>
      </c>
      <c r="T17" s="49">
        <f t="shared" si="22"/>
        <v>3908.944556723559</v>
      </c>
      <c r="U17" s="49">
        <f t="shared" si="22"/>
        <v>3956.72344785803</v>
      </c>
      <c r="V17" s="49">
        <f t="shared" si="22"/>
        <v>4005.457916815191</v>
      </c>
      <c r="W17" s="49">
        <f t="shared" si="22"/>
        <v>4055.167075151495</v>
      </c>
      <c r="X17" s="49">
        <f t="shared" si="22"/>
        <v>4105.870416654525</v>
      </c>
      <c r="Y17" s="49">
        <f t="shared" si="22"/>
        <v>4157.587824987617</v>
      </c>
      <c r="Z17" s="49">
        <f t="shared" si="22"/>
        <v>4210.3395814873675</v>
      </c>
      <c r="AA17" s="49">
        <f t="shared" si="22"/>
        <v>4264.146373117117</v>
      </c>
      <c r="AB17" s="49">
        <f t="shared" si="22"/>
        <v>4319.029300579461</v>
      </c>
    </row>
    <row r="18" spans="1:28" ht="12" customHeight="1">
      <c r="A18" s="19"/>
      <c r="B18" s="24"/>
      <c r="C18" s="16"/>
      <c r="D18" s="12"/>
      <c r="E18" s="79"/>
      <c r="F18" s="79"/>
      <c r="G18" s="79"/>
      <c r="H18" s="79"/>
      <c r="I18" s="79"/>
      <c r="J18" s="79"/>
      <c r="K18" s="79"/>
      <c r="L18" s="80"/>
      <c r="M18" s="81"/>
      <c r="N18" s="80"/>
      <c r="O18" s="82"/>
      <c r="P18" s="82"/>
      <c r="Q18" s="8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" customHeight="1">
      <c r="A19" s="19">
        <v>12</v>
      </c>
      <c r="B19" s="25"/>
      <c r="C19" s="10" t="s">
        <v>15</v>
      </c>
      <c r="D19" s="61">
        <f aca="true" t="shared" si="23" ref="D19:M19">D6+D7+D8-D14</f>
        <v>1000</v>
      </c>
      <c r="E19" s="61">
        <f t="shared" si="23"/>
        <v>1066</v>
      </c>
      <c r="F19" s="61">
        <f t="shared" si="23"/>
        <v>1133</v>
      </c>
      <c r="G19" s="61">
        <f t="shared" si="23"/>
        <v>1200</v>
      </c>
      <c r="H19" s="61">
        <f t="shared" si="23"/>
        <v>1266</v>
      </c>
      <c r="I19" s="61">
        <f t="shared" si="23"/>
        <v>1333</v>
      </c>
      <c r="J19" s="61">
        <f t="shared" si="23"/>
        <v>1400</v>
      </c>
      <c r="K19" s="61">
        <f t="shared" si="23"/>
        <v>1466</v>
      </c>
      <c r="L19" s="62">
        <f t="shared" si="23"/>
        <v>1533</v>
      </c>
      <c r="M19" s="62">
        <f t="shared" si="23"/>
        <v>1563.6000000000001</v>
      </c>
      <c r="N19" s="62">
        <f aca="true" t="shared" si="24" ref="N19:AB19">N6+N7+N8-N14</f>
        <v>1594.872</v>
      </c>
      <c r="O19" s="26">
        <f t="shared" si="24"/>
        <v>1626.76944</v>
      </c>
      <c r="P19" s="26">
        <f t="shared" si="24"/>
        <v>1659.3048288</v>
      </c>
      <c r="Q19" s="26">
        <f t="shared" si="24"/>
        <v>1692.4909253760002</v>
      </c>
      <c r="R19" s="26">
        <f t="shared" si="24"/>
        <v>1726.34074388352</v>
      </c>
      <c r="S19" s="26">
        <f t="shared" si="24"/>
        <v>1760.8675587611901</v>
      </c>
      <c r="T19" s="26">
        <f t="shared" si="24"/>
        <v>1796.084909936414</v>
      </c>
      <c r="U19" s="26">
        <f t="shared" si="24"/>
        <v>1832.0066081351426</v>
      </c>
      <c r="V19" s="26">
        <f t="shared" si="24"/>
        <v>1868.6467402978458</v>
      </c>
      <c r="W19" s="26">
        <f t="shared" si="24"/>
        <v>1906.0196751038025</v>
      </c>
      <c r="X19" s="26">
        <f t="shared" si="24"/>
        <v>1944.1400686058787</v>
      </c>
      <c r="Y19" s="26">
        <f t="shared" si="24"/>
        <v>1983.0228699779964</v>
      </c>
      <c r="Z19" s="26">
        <f t="shared" si="24"/>
        <v>2022.6833273775558</v>
      </c>
      <c r="AA19" s="26">
        <f t="shared" si="24"/>
        <v>2063.136993925107</v>
      </c>
      <c r="AB19" s="26">
        <f t="shared" si="24"/>
        <v>2104.3997338036093</v>
      </c>
    </row>
    <row r="20" spans="1:28" s="39" customFormat="1" ht="12" customHeight="1">
      <c r="A20" s="42">
        <v>13</v>
      </c>
      <c r="B20" s="12"/>
      <c r="C20" s="1" t="s">
        <v>16</v>
      </c>
      <c r="D20" s="50"/>
      <c r="E20" s="63">
        <f aca="true" t="shared" si="25" ref="E20:N20">E19/D19-1</f>
        <v>0.06600000000000006</v>
      </c>
      <c r="F20" s="63">
        <f t="shared" si="25"/>
        <v>0.06285178236397759</v>
      </c>
      <c r="G20" s="63">
        <f t="shared" si="25"/>
        <v>0.059135039717564064</v>
      </c>
      <c r="H20" s="63">
        <f t="shared" si="25"/>
        <v>0.05499999999999994</v>
      </c>
      <c r="I20" s="63">
        <f t="shared" si="25"/>
        <v>0.05292259083728279</v>
      </c>
      <c r="J20" s="63">
        <f t="shared" si="25"/>
        <v>0.050262565641410406</v>
      </c>
      <c r="K20" s="63">
        <f t="shared" si="25"/>
        <v>0.04714285714285715</v>
      </c>
      <c r="L20" s="63">
        <f t="shared" si="25"/>
        <v>0.04570259208731242</v>
      </c>
      <c r="M20" s="63">
        <f t="shared" si="25"/>
        <v>0.019960861056751655</v>
      </c>
      <c r="N20" s="63">
        <f t="shared" si="25"/>
        <v>0.020000000000000018</v>
      </c>
      <c r="O20" s="15">
        <f aca="true" t="shared" si="26" ref="O20:AB20">O19/N19-1</f>
        <v>0.020000000000000018</v>
      </c>
      <c r="P20" s="15">
        <f t="shared" si="26"/>
        <v>0.020000000000000018</v>
      </c>
      <c r="Q20" s="15">
        <f t="shared" si="26"/>
        <v>0.020000000000000018</v>
      </c>
      <c r="R20" s="15">
        <f t="shared" si="26"/>
        <v>0.019999999999999796</v>
      </c>
      <c r="S20" s="15">
        <f t="shared" si="26"/>
        <v>0.019999999999999796</v>
      </c>
      <c r="T20" s="15">
        <f t="shared" si="26"/>
        <v>0.020000000000000018</v>
      </c>
      <c r="U20" s="15">
        <f t="shared" si="26"/>
        <v>0.02000000000000024</v>
      </c>
      <c r="V20" s="15">
        <f t="shared" si="26"/>
        <v>0.02000000000000024</v>
      </c>
      <c r="W20" s="15">
        <f t="shared" si="26"/>
        <v>0.019999999999999796</v>
      </c>
      <c r="X20" s="15">
        <f t="shared" si="26"/>
        <v>0.020000000000000018</v>
      </c>
      <c r="Y20" s="15">
        <f t="shared" si="26"/>
        <v>0.020000000000000018</v>
      </c>
      <c r="Z20" s="15">
        <f t="shared" si="26"/>
        <v>0.019999999999999796</v>
      </c>
      <c r="AA20" s="15">
        <f t="shared" si="26"/>
        <v>0.02000000000000024</v>
      </c>
      <c r="AB20" s="15">
        <f t="shared" si="26"/>
        <v>0.020000000000000018</v>
      </c>
    </row>
    <row r="21" spans="1:28" ht="12" customHeight="1">
      <c r="A21" s="19"/>
      <c r="B21" s="24"/>
      <c r="C21" s="16"/>
      <c r="D21" s="24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ht="12" customHeight="1">
      <c r="A22" s="19"/>
      <c r="B22" s="46"/>
      <c r="C22" s="16"/>
      <c r="D22" s="24"/>
      <c r="E22" s="12"/>
      <c r="F22" s="12"/>
      <c r="G22" s="12"/>
      <c r="H22" s="12"/>
      <c r="I22" s="12"/>
      <c r="J22" s="12"/>
      <c r="K22" s="12"/>
      <c r="L22" s="12"/>
      <c r="M22" s="15"/>
      <c r="N22" s="15"/>
      <c r="O22" s="12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3.5" customHeight="1">
      <c r="A23" s="19"/>
      <c r="B23"/>
      <c r="C23"/>
      <c r="D23" s="74"/>
      <c r="E23" s="78">
        <v>1</v>
      </c>
      <c r="F23" s="78">
        <f aca="true" t="shared" si="27" ref="F23:U23">E23+1</f>
        <v>2</v>
      </c>
      <c r="G23" s="78">
        <f t="shared" si="27"/>
        <v>3</v>
      </c>
      <c r="H23" s="78">
        <f t="shared" si="27"/>
        <v>4</v>
      </c>
      <c r="I23" s="78">
        <f t="shared" si="27"/>
        <v>5</v>
      </c>
      <c r="J23" s="78">
        <f t="shared" si="27"/>
        <v>6</v>
      </c>
      <c r="K23" s="78">
        <f t="shared" si="27"/>
        <v>7</v>
      </c>
      <c r="L23" s="78">
        <f t="shared" si="27"/>
        <v>8</v>
      </c>
      <c r="M23" s="78">
        <f t="shared" si="27"/>
        <v>9</v>
      </c>
      <c r="N23" s="78">
        <f t="shared" si="27"/>
        <v>10</v>
      </c>
      <c r="O23" s="155">
        <f t="shared" si="27"/>
        <v>11</v>
      </c>
      <c r="P23" s="12">
        <f t="shared" si="27"/>
        <v>12</v>
      </c>
      <c r="Q23" s="12">
        <f t="shared" si="27"/>
        <v>13</v>
      </c>
      <c r="R23" s="12">
        <f t="shared" si="27"/>
        <v>14</v>
      </c>
      <c r="S23" s="12">
        <f t="shared" si="27"/>
        <v>15</v>
      </c>
      <c r="T23" s="12">
        <f t="shared" si="27"/>
        <v>16</v>
      </c>
      <c r="U23" s="24">
        <f t="shared" si="27"/>
        <v>17</v>
      </c>
      <c r="V23" s="24">
        <f aca="true" t="shared" si="28" ref="V23:AB23">U23+1</f>
        <v>18</v>
      </c>
      <c r="W23" s="24">
        <f t="shared" si="28"/>
        <v>19</v>
      </c>
      <c r="X23" s="24">
        <f t="shared" si="28"/>
        <v>20</v>
      </c>
      <c r="Y23" s="24">
        <f t="shared" si="28"/>
        <v>21</v>
      </c>
      <c r="Z23" s="24">
        <f t="shared" si="28"/>
        <v>22</v>
      </c>
      <c r="AA23" s="24">
        <f t="shared" si="28"/>
        <v>23</v>
      </c>
      <c r="AB23" s="24">
        <f t="shared" si="28"/>
        <v>24</v>
      </c>
    </row>
    <row r="24" spans="1:28" ht="12.75" customHeight="1">
      <c r="A24" s="124">
        <v>14</v>
      </c>
      <c r="B24" s="142"/>
      <c r="C24" s="143" t="s">
        <v>17</v>
      </c>
      <c r="D24" s="144"/>
      <c r="E24" s="58">
        <v>3200</v>
      </c>
      <c r="F24" s="58">
        <v>3400</v>
      </c>
      <c r="G24" s="58">
        <v>3600</v>
      </c>
      <c r="H24" s="58">
        <v>3800</v>
      </c>
      <c r="I24" s="58">
        <v>4000</v>
      </c>
      <c r="J24" s="56">
        <v>4200</v>
      </c>
      <c r="K24" s="56">
        <v>4400</v>
      </c>
      <c r="L24" s="56">
        <v>4600</v>
      </c>
      <c r="M24" s="56">
        <f aca="true" t="shared" si="29" ref="M24:AB24">L24*(1+$O$4)</f>
        <v>4692</v>
      </c>
      <c r="N24" s="65">
        <f t="shared" si="29"/>
        <v>4785.84</v>
      </c>
      <c r="O24" s="32">
        <f t="shared" si="29"/>
        <v>4881.5568</v>
      </c>
      <c r="P24" s="4">
        <f t="shared" si="29"/>
        <v>4979.187936</v>
      </c>
      <c r="Q24" s="4">
        <f t="shared" si="29"/>
        <v>5078.771694720001</v>
      </c>
      <c r="R24" s="4">
        <f t="shared" si="29"/>
        <v>5180.3471286144</v>
      </c>
      <c r="S24" s="4">
        <f t="shared" si="29"/>
        <v>5283.954071186688</v>
      </c>
      <c r="T24" s="4">
        <f t="shared" si="29"/>
        <v>5389.633152610422</v>
      </c>
      <c r="U24" s="4">
        <f t="shared" si="29"/>
        <v>5497.425815662631</v>
      </c>
      <c r="V24" s="4">
        <f t="shared" si="29"/>
        <v>5607.374331975884</v>
      </c>
      <c r="W24" s="4">
        <f t="shared" si="29"/>
        <v>5719.521818615402</v>
      </c>
      <c r="X24" s="4">
        <f t="shared" si="29"/>
        <v>5833.912254987709</v>
      </c>
      <c r="Y24" s="4">
        <f t="shared" si="29"/>
        <v>5950.590500087464</v>
      </c>
      <c r="Z24" s="4">
        <f t="shared" si="29"/>
        <v>6069.602310089213</v>
      </c>
      <c r="AA24" s="4">
        <f t="shared" si="29"/>
        <v>6190.994356290997</v>
      </c>
      <c r="AB24" s="4">
        <f t="shared" si="29"/>
        <v>6314.814243416817</v>
      </c>
    </row>
    <row r="25" spans="1:28" ht="12" customHeight="1">
      <c r="A25" s="125">
        <v>15</v>
      </c>
      <c r="B25" s="145"/>
      <c r="C25" s="146" t="s">
        <v>18</v>
      </c>
      <c r="D25" s="147"/>
      <c r="E25" s="55">
        <f>E24*0.55</f>
        <v>1760.0000000000002</v>
      </c>
      <c r="F25" s="55">
        <f aca="true" t="shared" si="30" ref="F25:AB25">F24*0.55</f>
        <v>1870.0000000000002</v>
      </c>
      <c r="G25" s="55">
        <f t="shared" si="30"/>
        <v>1980.0000000000002</v>
      </c>
      <c r="H25" s="55">
        <f t="shared" si="30"/>
        <v>2090</v>
      </c>
      <c r="I25" s="55">
        <f t="shared" si="30"/>
        <v>2200</v>
      </c>
      <c r="J25" s="55">
        <f t="shared" si="30"/>
        <v>2310</v>
      </c>
      <c r="K25" s="55">
        <f t="shared" si="30"/>
        <v>2420</v>
      </c>
      <c r="L25" s="55">
        <f t="shared" si="30"/>
        <v>2530</v>
      </c>
      <c r="M25" s="55">
        <f t="shared" si="30"/>
        <v>2580.6000000000004</v>
      </c>
      <c r="N25" s="55">
        <f t="shared" si="30"/>
        <v>2632.2120000000004</v>
      </c>
      <c r="O25" s="55">
        <f t="shared" si="30"/>
        <v>2684.8562400000005</v>
      </c>
      <c r="P25" s="55">
        <f t="shared" si="30"/>
        <v>2738.5533648000005</v>
      </c>
      <c r="Q25" s="55">
        <f t="shared" si="30"/>
        <v>2793.3244320960007</v>
      </c>
      <c r="R25" s="55">
        <f t="shared" si="30"/>
        <v>2849.1909207379204</v>
      </c>
      <c r="S25" s="55">
        <f t="shared" si="30"/>
        <v>2906.1747391526787</v>
      </c>
      <c r="T25" s="55">
        <f t="shared" si="30"/>
        <v>2964.2982339357327</v>
      </c>
      <c r="U25" s="55">
        <f t="shared" si="30"/>
        <v>3023.5841986144474</v>
      </c>
      <c r="V25" s="55">
        <f t="shared" si="30"/>
        <v>3084.0558825867365</v>
      </c>
      <c r="W25" s="55">
        <f t="shared" si="30"/>
        <v>3145.737000238471</v>
      </c>
      <c r="X25" s="55">
        <f t="shared" si="30"/>
        <v>3208.6517402432405</v>
      </c>
      <c r="Y25" s="55">
        <f t="shared" si="30"/>
        <v>3272.824775048105</v>
      </c>
      <c r="Z25" s="55">
        <f t="shared" si="30"/>
        <v>3338.2812705490674</v>
      </c>
      <c r="AA25" s="55">
        <f t="shared" si="30"/>
        <v>3405.0468959600485</v>
      </c>
      <c r="AB25" s="55">
        <f t="shared" si="30"/>
        <v>3473.1478338792494</v>
      </c>
    </row>
    <row r="26" spans="1:28" ht="12" customHeight="1">
      <c r="A26" s="125">
        <v>16</v>
      </c>
      <c r="B26" s="145"/>
      <c r="C26" s="146" t="s">
        <v>19</v>
      </c>
      <c r="D26" s="147"/>
      <c r="E26" s="55">
        <f aca="true" t="shared" si="31" ref="E26:N26">0.25*E24</f>
        <v>800</v>
      </c>
      <c r="F26" s="55">
        <f t="shared" si="31"/>
        <v>850</v>
      </c>
      <c r="G26" s="55">
        <f t="shared" si="31"/>
        <v>900</v>
      </c>
      <c r="H26" s="55">
        <f t="shared" si="31"/>
        <v>950</v>
      </c>
      <c r="I26" s="55">
        <f t="shared" si="31"/>
        <v>1000</v>
      </c>
      <c r="J26" s="55">
        <f t="shared" si="31"/>
        <v>1050</v>
      </c>
      <c r="K26" s="55">
        <f t="shared" si="31"/>
        <v>1100</v>
      </c>
      <c r="L26" s="55">
        <f t="shared" si="31"/>
        <v>1150</v>
      </c>
      <c r="M26" s="54">
        <f t="shared" si="31"/>
        <v>1173</v>
      </c>
      <c r="N26" s="69">
        <f t="shared" si="31"/>
        <v>1196.46</v>
      </c>
      <c r="O26" s="87">
        <f aca="true" t="shared" si="32" ref="O26:AB26">0.25*O24</f>
        <v>1220.3892</v>
      </c>
      <c r="P26" s="45">
        <f t="shared" si="32"/>
        <v>1244.796984</v>
      </c>
      <c r="Q26" s="23">
        <f t="shared" si="32"/>
        <v>1269.6929236800001</v>
      </c>
      <c r="R26" s="23">
        <f t="shared" si="32"/>
        <v>1295.0867821536</v>
      </c>
      <c r="S26" s="23">
        <f t="shared" si="32"/>
        <v>1320.988517796672</v>
      </c>
      <c r="T26" s="23">
        <f t="shared" si="32"/>
        <v>1347.4082881526056</v>
      </c>
      <c r="U26" s="23">
        <f t="shared" si="32"/>
        <v>1374.3564539156578</v>
      </c>
      <c r="V26" s="23">
        <f t="shared" si="32"/>
        <v>1401.843582993971</v>
      </c>
      <c r="W26" s="23">
        <f t="shared" si="32"/>
        <v>1429.8804546538504</v>
      </c>
      <c r="X26" s="23">
        <f t="shared" si="32"/>
        <v>1458.4780637469273</v>
      </c>
      <c r="Y26" s="23">
        <f t="shared" si="32"/>
        <v>1487.647625021866</v>
      </c>
      <c r="Z26" s="23">
        <f t="shared" si="32"/>
        <v>1517.4005775223031</v>
      </c>
      <c r="AA26" s="23">
        <f t="shared" si="32"/>
        <v>1547.7485890727492</v>
      </c>
      <c r="AB26" s="23">
        <f t="shared" si="32"/>
        <v>1578.7035608542042</v>
      </c>
    </row>
    <row r="27" spans="1:28" ht="12" customHeight="1">
      <c r="A27" s="125">
        <v>17</v>
      </c>
      <c r="B27" s="145"/>
      <c r="C27" s="146" t="s">
        <v>20</v>
      </c>
      <c r="D27" s="147"/>
      <c r="E27" s="58">
        <v>350</v>
      </c>
      <c r="F27" s="58">
        <v>350</v>
      </c>
      <c r="G27" s="58">
        <v>400</v>
      </c>
      <c r="H27" s="58">
        <v>500</v>
      </c>
      <c r="I27" s="68">
        <f>0.2*H11</f>
        <v>300</v>
      </c>
      <c r="J27" s="68">
        <f>0.2*I11</f>
        <v>280</v>
      </c>
      <c r="K27" s="68">
        <f>0.2*J11</f>
        <v>304</v>
      </c>
      <c r="L27" s="51">
        <f aca="true" t="shared" si="33" ref="L27:U27">K27*(1+$O$4)</f>
        <v>310.08</v>
      </c>
      <c r="M27" s="65">
        <f t="shared" si="33"/>
        <v>316.28159999999997</v>
      </c>
      <c r="N27" s="65">
        <f t="shared" si="33"/>
        <v>322.60723199999995</v>
      </c>
      <c r="O27" s="32">
        <f t="shared" si="33"/>
        <v>329.05937664</v>
      </c>
      <c r="P27" s="4">
        <f t="shared" si="33"/>
        <v>335.6405641728</v>
      </c>
      <c r="Q27" s="4">
        <f t="shared" si="33"/>
        <v>342.353375456256</v>
      </c>
      <c r="R27" s="4">
        <f t="shared" si="33"/>
        <v>349.2004429653811</v>
      </c>
      <c r="S27" s="4">
        <f t="shared" si="33"/>
        <v>356.1844518246887</v>
      </c>
      <c r="T27" s="4">
        <f t="shared" si="33"/>
        <v>363.3081408611825</v>
      </c>
      <c r="U27" s="4">
        <f t="shared" si="33"/>
        <v>370.5743036784061</v>
      </c>
      <c r="V27" s="4">
        <f aca="true" t="shared" si="34" ref="V27:AB27">U27*(1+$O$4)</f>
        <v>377.98578975197427</v>
      </c>
      <c r="W27" s="4">
        <f t="shared" si="34"/>
        <v>385.54550554701376</v>
      </c>
      <c r="X27" s="4">
        <f t="shared" si="34"/>
        <v>393.25641565795405</v>
      </c>
      <c r="Y27" s="4">
        <f t="shared" si="34"/>
        <v>401.1215439711131</v>
      </c>
      <c r="Z27" s="4">
        <f t="shared" si="34"/>
        <v>409.14397485053536</v>
      </c>
      <c r="AA27" s="4">
        <f t="shared" si="34"/>
        <v>417.3268543475461</v>
      </c>
      <c r="AB27" s="4">
        <f t="shared" si="34"/>
        <v>425.67339143449703</v>
      </c>
    </row>
    <row r="28" spans="1:28" ht="12" customHeight="1">
      <c r="A28" s="125">
        <v>18</v>
      </c>
      <c r="B28" s="148"/>
      <c r="C28" s="133" t="s">
        <v>21</v>
      </c>
      <c r="D28" s="149"/>
      <c r="E28" s="58">
        <f aca="true" t="shared" si="35" ref="E28:N28">E24-E25-E26-E27</f>
        <v>289.9999999999998</v>
      </c>
      <c r="F28" s="58">
        <f t="shared" si="35"/>
        <v>329.9999999999998</v>
      </c>
      <c r="G28" s="58">
        <f t="shared" si="35"/>
        <v>319.9999999999998</v>
      </c>
      <c r="H28" s="58">
        <f t="shared" si="35"/>
        <v>260</v>
      </c>
      <c r="I28" s="70">
        <f t="shared" si="35"/>
        <v>500</v>
      </c>
      <c r="J28" s="56">
        <f t="shared" si="35"/>
        <v>560</v>
      </c>
      <c r="K28" s="56">
        <f t="shared" si="35"/>
        <v>576</v>
      </c>
      <c r="L28" s="51">
        <f t="shared" si="35"/>
        <v>609.9200000000001</v>
      </c>
      <c r="M28" s="65">
        <f t="shared" si="35"/>
        <v>622.1183999999996</v>
      </c>
      <c r="N28" s="65">
        <f t="shared" si="35"/>
        <v>634.5607679999997</v>
      </c>
      <c r="O28" s="32">
        <f aca="true" t="shared" si="36" ref="O28:AB28">O24-O25-O26-O27</f>
        <v>647.2519833599997</v>
      </c>
      <c r="P28" s="4">
        <f t="shared" si="36"/>
        <v>660.1970230271997</v>
      </c>
      <c r="Q28" s="4">
        <f t="shared" si="36"/>
        <v>673.4009634877438</v>
      </c>
      <c r="R28" s="4">
        <f t="shared" si="36"/>
        <v>686.8689827574988</v>
      </c>
      <c r="S28" s="4">
        <f t="shared" si="36"/>
        <v>700.6063624126489</v>
      </c>
      <c r="T28" s="4">
        <f t="shared" si="36"/>
        <v>714.6184896609016</v>
      </c>
      <c r="U28" s="4">
        <f t="shared" si="36"/>
        <v>728.9108594541199</v>
      </c>
      <c r="V28" s="4">
        <f t="shared" si="36"/>
        <v>743.4890766432023</v>
      </c>
      <c r="W28" s="4">
        <f t="shared" si="36"/>
        <v>758.3588581760664</v>
      </c>
      <c r="X28" s="4">
        <f t="shared" si="36"/>
        <v>773.5260353395875</v>
      </c>
      <c r="Y28" s="4">
        <f t="shared" si="36"/>
        <v>788.9965560463795</v>
      </c>
      <c r="Z28" s="4">
        <f t="shared" si="36"/>
        <v>804.7764871673066</v>
      </c>
      <c r="AA28" s="4">
        <f t="shared" si="36"/>
        <v>820.872016910653</v>
      </c>
      <c r="AB28" s="4">
        <f t="shared" si="36"/>
        <v>837.289457248866</v>
      </c>
    </row>
    <row r="29" spans="1:28" ht="12" customHeight="1">
      <c r="A29" s="125">
        <v>19</v>
      </c>
      <c r="B29" s="148"/>
      <c r="C29" s="133" t="s">
        <v>22</v>
      </c>
      <c r="D29" s="149"/>
      <c r="E29" s="70">
        <f>D15*D67</f>
        <v>126.00000000000001</v>
      </c>
      <c r="F29" s="70">
        <f>E15*E67</f>
        <v>126.00000000000001</v>
      </c>
      <c r="G29" s="70">
        <f>F15*F67</f>
        <v>161.00000000000003</v>
      </c>
      <c r="H29" s="70">
        <f>G15*G67</f>
        <v>161.00000000000003</v>
      </c>
      <c r="I29" s="70">
        <f>H15*H67</f>
        <v>140</v>
      </c>
      <c r="J29" s="70">
        <f>I15*I67</f>
        <v>126.00000000000001</v>
      </c>
      <c r="K29" s="70">
        <f>J15*J67</f>
        <v>119.00000000000001</v>
      </c>
      <c r="L29" s="70">
        <f>K15*K67</f>
        <v>105.00000000000001</v>
      </c>
      <c r="M29" s="70">
        <f>L15*L67</f>
        <v>91.00000000000001</v>
      </c>
      <c r="N29" s="70">
        <f>M15*M67</f>
        <v>70</v>
      </c>
      <c r="O29" s="70">
        <f>N15*N67</f>
        <v>71.4</v>
      </c>
      <c r="P29" s="70">
        <f>O15*O67</f>
        <v>72.82800000000002</v>
      </c>
      <c r="Q29" s="70">
        <f>P15*P67</f>
        <v>74.28456000000001</v>
      </c>
      <c r="R29" s="70">
        <f>Q15*Q67</f>
        <v>75.77025120000002</v>
      </c>
      <c r="S29" s="70">
        <f>R15*R67</f>
        <v>77.28565622400001</v>
      </c>
      <c r="T29" s="70">
        <f>S15*S67</f>
        <v>78.83136934848001</v>
      </c>
      <c r="U29" s="70">
        <f>T15*T67</f>
        <v>80.40799673544961</v>
      </c>
      <c r="V29" s="70">
        <f>U15*U67</f>
        <v>82.01615667015861</v>
      </c>
      <c r="W29" s="70">
        <f>V15*V67</f>
        <v>83.65647980356178</v>
      </c>
      <c r="X29" s="70">
        <f>W15*W67</f>
        <v>85.32960939963303</v>
      </c>
      <c r="Y29" s="70">
        <f>X15*X67</f>
        <v>87.0362015876257</v>
      </c>
      <c r="Z29" s="70">
        <f>Y15*Y67</f>
        <v>88.7769256193782</v>
      </c>
      <c r="AA29" s="70">
        <f>Z15*Z67</f>
        <v>90.55246413176577</v>
      </c>
      <c r="AB29" s="70">
        <f>AA15*AA67</f>
        <v>92.3635134144011</v>
      </c>
    </row>
    <row r="30" spans="1:28" s="39" customFormat="1" ht="12" customHeight="1">
      <c r="A30" s="126">
        <v>20</v>
      </c>
      <c r="B30" s="150"/>
      <c r="C30" s="39" t="s">
        <v>23</v>
      </c>
      <c r="D30" s="151"/>
      <c r="E30" s="71">
        <f aca="true" t="shared" si="37" ref="E30:N30">E28-E29</f>
        <v>163.99999999999977</v>
      </c>
      <c r="F30" s="71">
        <f t="shared" si="37"/>
        <v>203.99999999999977</v>
      </c>
      <c r="G30" s="71">
        <f t="shared" si="37"/>
        <v>158.99999999999974</v>
      </c>
      <c r="H30" s="71">
        <f t="shared" si="37"/>
        <v>98.99999999999997</v>
      </c>
      <c r="I30" s="72">
        <f t="shared" si="37"/>
        <v>360</v>
      </c>
      <c r="J30" s="66">
        <f t="shared" si="37"/>
        <v>434</v>
      </c>
      <c r="K30" s="66">
        <f t="shared" si="37"/>
        <v>457</v>
      </c>
      <c r="L30" s="66">
        <f t="shared" si="37"/>
        <v>504.9200000000001</v>
      </c>
      <c r="M30" s="66">
        <f t="shared" si="37"/>
        <v>531.1183999999996</v>
      </c>
      <c r="N30" s="66">
        <f t="shared" si="37"/>
        <v>564.5607679999997</v>
      </c>
      <c r="O30" s="31">
        <f aca="true" t="shared" si="38" ref="O30:AB30">O28-O29</f>
        <v>575.8519833599997</v>
      </c>
      <c r="P30" s="33">
        <f t="shared" si="38"/>
        <v>587.3690230271998</v>
      </c>
      <c r="Q30" s="33">
        <f t="shared" si="38"/>
        <v>599.1164034877437</v>
      </c>
      <c r="R30" s="33">
        <f t="shared" si="38"/>
        <v>611.0987315574987</v>
      </c>
      <c r="S30" s="33">
        <f t="shared" si="38"/>
        <v>623.3207061886488</v>
      </c>
      <c r="T30" s="33">
        <f t="shared" si="38"/>
        <v>635.7871203124215</v>
      </c>
      <c r="U30" s="33">
        <f t="shared" si="38"/>
        <v>648.5028627186703</v>
      </c>
      <c r="V30" s="33">
        <f t="shared" si="38"/>
        <v>661.4729199730438</v>
      </c>
      <c r="W30" s="33">
        <f t="shared" si="38"/>
        <v>674.7023783725047</v>
      </c>
      <c r="X30" s="33">
        <f t="shared" si="38"/>
        <v>688.1964259399545</v>
      </c>
      <c r="Y30" s="33">
        <f t="shared" si="38"/>
        <v>701.9603544587538</v>
      </c>
      <c r="Z30" s="33">
        <f t="shared" si="38"/>
        <v>715.9995615479285</v>
      </c>
      <c r="AA30" s="33">
        <f t="shared" si="38"/>
        <v>730.3195527788872</v>
      </c>
      <c r="AB30" s="33">
        <f t="shared" si="38"/>
        <v>744.925943834465</v>
      </c>
    </row>
    <row r="31" spans="1:28" ht="12.75" customHeight="1">
      <c r="A31" s="125">
        <v>21</v>
      </c>
      <c r="B31" s="152"/>
      <c r="C31" s="133" t="s">
        <v>24</v>
      </c>
      <c r="D31" s="149"/>
      <c r="E31" s="68">
        <f>$D1*E30</f>
        <v>49.19999999999993</v>
      </c>
      <c r="F31" s="140">
        <f>$D1*F30</f>
        <v>61.19999999999993</v>
      </c>
      <c r="G31" s="70">
        <f>$D1*G30</f>
        <v>47.699999999999925</v>
      </c>
      <c r="H31" s="70">
        <f>$D1*H30</f>
        <v>29.69999999999999</v>
      </c>
      <c r="I31" s="70">
        <f>$D1*I30</f>
        <v>108</v>
      </c>
      <c r="J31" s="65">
        <f>$D1*J30</f>
        <v>130.2</v>
      </c>
      <c r="K31" s="65">
        <f>$D1*K30</f>
        <v>137.1</v>
      </c>
      <c r="L31" s="65">
        <f>$D1*L30</f>
        <v>151.47600000000003</v>
      </c>
      <c r="M31" s="65">
        <f>$D1*M30</f>
        <v>159.3355199999999</v>
      </c>
      <c r="N31" s="65">
        <f>$D1*N30</f>
        <v>169.3682303999999</v>
      </c>
      <c r="O31" s="32">
        <f>$D1*O30</f>
        <v>172.75559500799991</v>
      </c>
      <c r="P31" s="4">
        <f>$D1*P30</f>
        <v>176.21070690815992</v>
      </c>
      <c r="Q31" s="4">
        <f>$D1*Q30</f>
        <v>179.7349210463231</v>
      </c>
      <c r="R31" s="4">
        <f>$D1*R30</f>
        <v>183.32961946724961</v>
      </c>
      <c r="S31" s="4">
        <f>$D1*S30</f>
        <v>186.99621185659464</v>
      </c>
      <c r="T31" s="4">
        <f>$D1*T30</f>
        <v>190.73613609372646</v>
      </c>
      <c r="U31" s="4">
        <f>$D1*U30</f>
        <v>194.55085881560106</v>
      </c>
      <c r="V31" s="4">
        <f>$D1*V30</f>
        <v>198.44187599191312</v>
      </c>
      <c r="W31" s="4">
        <f>$D1*W30</f>
        <v>202.4107135117514</v>
      </c>
      <c r="X31" s="4">
        <f>$D1*X30</f>
        <v>206.45892778198632</v>
      </c>
      <c r="Y31" s="4">
        <f>$D1*Y30</f>
        <v>210.58810633762616</v>
      </c>
      <c r="Z31" s="4">
        <f>$D1*Z30</f>
        <v>214.79986846437853</v>
      </c>
      <c r="AA31" s="4">
        <f>$D1*AA30</f>
        <v>219.09586583366615</v>
      </c>
      <c r="AB31" s="4">
        <f>$D1*AB30</f>
        <v>223.4777831503395</v>
      </c>
    </row>
    <row r="32" spans="1:28" s="7" customFormat="1" ht="12" customHeight="1">
      <c r="A32" s="126">
        <v>22</v>
      </c>
      <c r="B32" s="153"/>
      <c r="C32" s="36" t="s">
        <v>25</v>
      </c>
      <c r="D32" s="88"/>
      <c r="E32" s="73">
        <f aca="true" t="shared" si="39" ref="E32:N32">E30-E31</f>
        <v>114.79999999999984</v>
      </c>
      <c r="F32" s="141">
        <f t="shared" si="39"/>
        <v>142.79999999999984</v>
      </c>
      <c r="G32" s="67">
        <f t="shared" si="39"/>
        <v>111.29999999999981</v>
      </c>
      <c r="H32" s="67">
        <f t="shared" si="39"/>
        <v>69.29999999999998</v>
      </c>
      <c r="I32" s="67">
        <f t="shared" si="39"/>
        <v>252</v>
      </c>
      <c r="J32" s="67">
        <f t="shared" si="39"/>
        <v>303.8</v>
      </c>
      <c r="K32" s="67">
        <f t="shared" si="39"/>
        <v>319.9</v>
      </c>
      <c r="L32" s="67">
        <f t="shared" si="39"/>
        <v>353.4440000000001</v>
      </c>
      <c r="M32" s="67">
        <f t="shared" si="39"/>
        <v>371.78287999999975</v>
      </c>
      <c r="N32" s="67">
        <f t="shared" si="39"/>
        <v>395.1925375999998</v>
      </c>
      <c r="O32" s="47">
        <f aca="true" t="shared" si="40" ref="O32:AB32">O30-O31</f>
        <v>403.09638835199985</v>
      </c>
      <c r="P32" s="48">
        <f t="shared" si="40"/>
        <v>411.15831611903985</v>
      </c>
      <c r="Q32" s="48">
        <f t="shared" si="40"/>
        <v>419.3814824414206</v>
      </c>
      <c r="R32" s="48">
        <f t="shared" si="40"/>
        <v>427.7691120902491</v>
      </c>
      <c r="S32" s="48">
        <f t="shared" si="40"/>
        <v>436.3244943320542</v>
      </c>
      <c r="T32" s="48">
        <f t="shared" si="40"/>
        <v>445.050984218695</v>
      </c>
      <c r="U32" s="48">
        <f t="shared" si="40"/>
        <v>453.9520039030692</v>
      </c>
      <c r="V32" s="48">
        <f t="shared" si="40"/>
        <v>463.03104398113067</v>
      </c>
      <c r="W32" s="48">
        <f t="shared" si="40"/>
        <v>472.29166486075326</v>
      </c>
      <c r="X32" s="48">
        <f t="shared" si="40"/>
        <v>481.73749815796816</v>
      </c>
      <c r="Y32" s="48">
        <f t="shared" si="40"/>
        <v>491.37224812112765</v>
      </c>
      <c r="Z32" s="48">
        <f t="shared" si="40"/>
        <v>501.19969308354996</v>
      </c>
      <c r="AA32" s="48">
        <f t="shared" si="40"/>
        <v>511.22368694522106</v>
      </c>
      <c r="AB32" s="48">
        <f t="shared" si="40"/>
        <v>521.4481606841255</v>
      </c>
    </row>
    <row r="33" spans="1:28" ht="10.5" hidden="1">
      <c r="A33" s="98" t="s">
        <v>26</v>
      </c>
      <c r="B33" s="148"/>
      <c r="C33" s="133"/>
      <c r="D33" s="149"/>
      <c r="E33" s="68"/>
      <c r="F33" s="70"/>
      <c r="G33" s="70"/>
      <c r="H33" s="70"/>
      <c r="I33" s="70"/>
      <c r="J33" s="65"/>
      <c r="K33" s="65"/>
      <c r="L33" s="65"/>
      <c r="M33" s="65"/>
      <c r="N33" s="65"/>
      <c r="O33" s="3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0.5" hidden="1">
      <c r="A34" s="98"/>
      <c r="B34" s="148"/>
      <c r="C34" s="133"/>
      <c r="D34" s="27">
        <v>0</v>
      </c>
      <c r="E34" s="60">
        <v>1</v>
      </c>
      <c r="F34" s="60">
        <f aca="true" t="shared" si="41" ref="F34:O34">E34+1</f>
        <v>2</v>
      </c>
      <c r="G34" s="60">
        <f t="shared" si="41"/>
        <v>3</v>
      </c>
      <c r="H34" s="60">
        <f t="shared" si="41"/>
        <v>4</v>
      </c>
      <c r="I34" s="60">
        <f t="shared" si="41"/>
        <v>5</v>
      </c>
      <c r="J34" s="60">
        <f t="shared" si="41"/>
        <v>6</v>
      </c>
      <c r="K34" s="60">
        <f t="shared" si="41"/>
        <v>7</v>
      </c>
      <c r="L34" s="60">
        <f t="shared" si="41"/>
        <v>8</v>
      </c>
      <c r="M34" s="60">
        <f t="shared" si="41"/>
        <v>9</v>
      </c>
      <c r="N34" s="60">
        <f t="shared" si="41"/>
        <v>10</v>
      </c>
      <c r="O34" s="27">
        <f t="shared" si="41"/>
        <v>11</v>
      </c>
      <c r="P34" s="24">
        <f aca="true" t="shared" si="42" ref="P34:AB34">O34+1</f>
        <v>12</v>
      </c>
      <c r="Q34" s="24">
        <f t="shared" si="42"/>
        <v>13</v>
      </c>
      <c r="R34" s="24">
        <f t="shared" si="42"/>
        <v>14</v>
      </c>
      <c r="S34" s="24">
        <f t="shared" si="42"/>
        <v>15</v>
      </c>
      <c r="T34" s="24">
        <f t="shared" si="42"/>
        <v>16</v>
      </c>
      <c r="U34" s="24">
        <f t="shared" si="42"/>
        <v>17</v>
      </c>
      <c r="V34" s="24">
        <f t="shared" si="42"/>
        <v>18</v>
      </c>
      <c r="W34" s="24">
        <f t="shared" si="42"/>
        <v>19</v>
      </c>
      <c r="X34" s="24">
        <f t="shared" si="42"/>
        <v>20</v>
      </c>
      <c r="Y34" s="24">
        <f t="shared" si="42"/>
        <v>21</v>
      </c>
      <c r="Z34" s="24">
        <f t="shared" si="42"/>
        <v>22</v>
      </c>
      <c r="AA34" s="24">
        <f t="shared" si="42"/>
        <v>23</v>
      </c>
      <c r="AB34" s="24">
        <f t="shared" si="42"/>
        <v>24</v>
      </c>
    </row>
    <row r="35" spans="1:28" s="7" customFormat="1" ht="10.5" hidden="1">
      <c r="A35" s="126">
        <v>22</v>
      </c>
      <c r="B35" s="153"/>
      <c r="C35" s="36" t="s">
        <v>25</v>
      </c>
      <c r="D35" s="88"/>
      <c r="E35" s="73">
        <f aca="true" t="shared" si="43" ref="E35:AB35">E32</f>
        <v>114.79999999999984</v>
      </c>
      <c r="F35" s="73">
        <f t="shared" si="43"/>
        <v>142.79999999999984</v>
      </c>
      <c r="G35" s="73">
        <f t="shared" si="43"/>
        <v>111.29999999999981</v>
      </c>
      <c r="H35" s="73">
        <f t="shared" si="43"/>
        <v>69.29999999999998</v>
      </c>
      <c r="I35" s="73">
        <f t="shared" si="43"/>
        <v>252</v>
      </c>
      <c r="J35" s="73">
        <f t="shared" si="43"/>
        <v>303.8</v>
      </c>
      <c r="K35" s="73">
        <f t="shared" si="43"/>
        <v>319.9</v>
      </c>
      <c r="L35" s="73">
        <f t="shared" si="43"/>
        <v>353.4440000000001</v>
      </c>
      <c r="M35" s="73">
        <f t="shared" si="43"/>
        <v>371.78287999999975</v>
      </c>
      <c r="N35" s="73">
        <f t="shared" si="43"/>
        <v>395.1925375999998</v>
      </c>
      <c r="O35" s="88">
        <f t="shared" si="43"/>
        <v>403.09638835199985</v>
      </c>
      <c r="P35" s="36">
        <f t="shared" si="43"/>
        <v>411.15831611903985</v>
      </c>
      <c r="Q35" s="36">
        <f t="shared" si="43"/>
        <v>419.3814824414206</v>
      </c>
      <c r="R35" s="36">
        <f t="shared" si="43"/>
        <v>427.7691120902491</v>
      </c>
      <c r="S35" s="36">
        <f t="shared" si="43"/>
        <v>436.3244943320542</v>
      </c>
      <c r="T35" s="36">
        <f t="shared" si="43"/>
        <v>445.050984218695</v>
      </c>
      <c r="U35" s="36">
        <f t="shared" si="43"/>
        <v>453.9520039030692</v>
      </c>
      <c r="V35" s="36">
        <f t="shared" si="43"/>
        <v>463.03104398113067</v>
      </c>
      <c r="W35" s="36">
        <f t="shared" si="43"/>
        <v>472.29166486075326</v>
      </c>
      <c r="X35" s="36">
        <f t="shared" si="43"/>
        <v>481.73749815796816</v>
      </c>
      <c r="Y35" s="36">
        <f t="shared" si="43"/>
        <v>491.37224812112765</v>
      </c>
      <c r="Z35" s="36">
        <f t="shared" si="43"/>
        <v>501.19969308354996</v>
      </c>
      <c r="AA35" s="36">
        <f t="shared" si="43"/>
        <v>511.22368694522106</v>
      </c>
      <c r="AB35" s="36">
        <f t="shared" si="43"/>
        <v>521.4481606841255</v>
      </c>
    </row>
    <row r="36" spans="1:28" ht="12" customHeight="1">
      <c r="A36" s="125">
        <v>23</v>
      </c>
      <c r="B36" s="148"/>
      <c r="C36" s="133" t="s">
        <v>27</v>
      </c>
      <c r="D36" s="149"/>
      <c r="E36" s="68">
        <f aca="true" t="shared" si="44" ref="E36:AB36">E27</f>
        <v>350</v>
      </c>
      <c r="F36" s="58">
        <f t="shared" si="44"/>
        <v>350</v>
      </c>
      <c r="G36" s="58">
        <f t="shared" si="44"/>
        <v>400</v>
      </c>
      <c r="H36" s="58">
        <f t="shared" si="44"/>
        <v>500</v>
      </c>
      <c r="I36" s="58">
        <f t="shared" si="44"/>
        <v>300</v>
      </c>
      <c r="J36" s="56">
        <f t="shared" si="44"/>
        <v>280</v>
      </c>
      <c r="K36" s="56">
        <f t="shared" si="44"/>
        <v>304</v>
      </c>
      <c r="L36" s="65">
        <f t="shared" si="44"/>
        <v>310.08</v>
      </c>
      <c r="M36" s="65">
        <f t="shared" si="44"/>
        <v>316.28159999999997</v>
      </c>
      <c r="N36" s="65">
        <f t="shared" si="44"/>
        <v>322.60723199999995</v>
      </c>
      <c r="O36" s="32">
        <f t="shared" si="44"/>
        <v>329.05937664</v>
      </c>
      <c r="P36" s="4">
        <f t="shared" si="44"/>
        <v>335.6405641728</v>
      </c>
      <c r="Q36" s="4">
        <f t="shared" si="44"/>
        <v>342.353375456256</v>
      </c>
      <c r="R36" s="4">
        <f t="shared" si="44"/>
        <v>349.2004429653811</v>
      </c>
      <c r="S36" s="4">
        <f t="shared" si="44"/>
        <v>356.1844518246887</v>
      </c>
      <c r="T36" s="4">
        <f t="shared" si="44"/>
        <v>363.3081408611825</v>
      </c>
      <c r="U36" s="4">
        <f t="shared" si="44"/>
        <v>370.5743036784061</v>
      </c>
      <c r="V36" s="4">
        <f t="shared" si="44"/>
        <v>377.98578975197427</v>
      </c>
      <c r="W36" s="4">
        <f t="shared" si="44"/>
        <v>385.54550554701376</v>
      </c>
      <c r="X36" s="4">
        <f t="shared" si="44"/>
        <v>393.25641565795405</v>
      </c>
      <c r="Y36" s="4">
        <f t="shared" si="44"/>
        <v>401.1215439711131</v>
      </c>
      <c r="Z36" s="4">
        <f t="shared" si="44"/>
        <v>409.14397485053536</v>
      </c>
      <c r="AA36" s="4">
        <f t="shared" si="44"/>
        <v>417.3268543475461</v>
      </c>
      <c r="AB36" s="4">
        <f t="shared" si="44"/>
        <v>425.67339143449703</v>
      </c>
    </row>
    <row r="37" spans="1:28" ht="12" customHeight="1">
      <c r="A37" s="125">
        <v>24</v>
      </c>
      <c r="B37" s="148"/>
      <c r="C37" s="133" t="s">
        <v>28</v>
      </c>
      <c r="D37" s="149"/>
      <c r="E37" s="58">
        <f>E15-D15</f>
        <v>0</v>
      </c>
      <c r="F37" s="58">
        <f aca="true" t="shared" si="45" ref="F37:AB37">F15-E15</f>
        <v>500</v>
      </c>
      <c r="G37" s="58">
        <f t="shared" si="45"/>
        <v>0</v>
      </c>
      <c r="H37" s="58">
        <f t="shared" si="45"/>
        <v>-300</v>
      </c>
      <c r="I37" s="58">
        <f t="shared" si="45"/>
        <v>-200</v>
      </c>
      <c r="J37" s="58">
        <f t="shared" si="45"/>
        <v>-100</v>
      </c>
      <c r="K37" s="58">
        <f t="shared" si="45"/>
        <v>-200</v>
      </c>
      <c r="L37" s="58">
        <f t="shared" si="45"/>
        <v>-200</v>
      </c>
      <c r="M37" s="58">
        <f t="shared" si="45"/>
        <v>-300</v>
      </c>
      <c r="N37" s="58">
        <f t="shared" si="45"/>
        <v>20</v>
      </c>
      <c r="O37" s="58">
        <f t="shared" si="45"/>
        <v>20.40000000000009</v>
      </c>
      <c r="P37" s="58">
        <f t="shared" si="45"/>
        <v>20.807999999999993</v>
      </c>
      <c r="Q37" s="58">
        <f t="shared" si="45"/>
        <v>21.224159999999983</v>
      </c>
      <c r="R37" s="58">
        <f t="shared" si="45"/>
        <v>21.648643199999924</v>
      </c>
      <c r="S37" s="58">
        <f t="shared" si="45"/>
        <v>22.081616063999945</v>
      </c>
      <c r="T37" s="58">
        <f t="shared" si="45"/>
        <v>22.523248385280112</v>
      </c>
      <c r="U37" s="58">
        <f t="shared" si="45"/>
        <v>22.97371335298567</v>
      </c>
      <c r="V37" s="58">
        <f t="shared" si="45"/>
        <v>23.433187620045373</v>
      </c>
      <c r="W37" s="58">
        <f t="shared" si="45"/>
        <v>23.901851372446345</v>
      </c>
      <c r="X37" s="58">
        <f t="shared" si="45"/>
        <v>24.379888399895208</v>
      </c>
      <c r="Y37" s="58">
        <f t="shared" si="45"/>
        <v>24.86748616789305</v>
      </c>
      <c r="Z37" s="58">
        <f t="shared" si="45"/>
        <v>25.364835891251005</v>
      </c>
      <c r="AA37" s="58">
        <f t="shared" si="45"/>
        <v>25.87213260907606</v>
      </c>
      <c r="AB37" s="58">
        <f t="shared" si="45"/>
        <v>26.389575261257505</v>
      </c>
    </row>
    <row r="38" spans="1:28" ht="12" customHeight="1">
      <c r="A38" s="125">
        <v>25</v>
      </c>
      <c r="B38" s="148"/>
      <c r="C38" s="133" t="s">
        <v>29</v>
      </c>
      <c r="D38" s="149"/>
      <c r="E38" s="68">
        <f aca="true" t="shared" si="46" ref="E38:N38">D19-E19</f>
        <v>-66</v>
      </c>
      <c r="F38" s="68">
        <f t="shared" si="46"/>
        <v>-67</v>
      </c>
      <c r="G38" s="68">
        <f t="shared" si="46"/>
        <v>-67</v>
      </c>
      <c r="H38" s="68">
        <f t="shared" si="46"/>
        <v>-66</v>
      </c>
      <c r="I38" s="68">
        <f t="shared" si="46"/>
        <v>-67</v>
      </c>
      <c r="J38" s="68">
        <f t="shared" si="46"/>
        <v>-67</v>
      </c>
      <c r="K38" s="68">
        <f t="shared" si="46"/>
        <v>-66</v>
      </c>
      <c r="L38" s="68">
        <f t="shared" si="46"/>
        <v>-67</v>
      </c>
      <c r="M38" s="68">
        <f t="shared" si="46"/>
        <v>-30.600000000000136</v>
      </c>
      <c r="N38" s="70">
        <f t="shared" si="46"/>
        <v>-31.271999999999935</v>
      </c>
      <c r="O38" s="28">
        <f aca="true" t="shared" si="47" ref="O38:AB38">N19-O19</f>
        <v>-31.89743999999996</v>
      </c>
      <c r="P38" s="2">
        <f t="shared" si="47"/>
        <v>-32.535388799999964</v>
      </c>
      <c r="Q38" s="5">
        <f t="shared" si="47"/>
        <v>-33.18609657600018</v>
      </c>
      <c r="R38" s="5">
        <f t="shared" si="47"/>
        <v>-33.849818507519785</v>
      </c>
      <c r="S38" s="5">
        <f t="shared" si="47"/>
        <v>-34.526814877670176</v>
      </c>
      <c r="T38" s="5">
        <f t="shared" si="47"/>
        <v>-35.21735117522394</v>
      </c>
      <c r="U38" s="5">
        <f t="shared" si="47"/>
        <v>-35.92169819872856</v>
      </c>
      <c r="V38" s="5">
        <f t="shared" si="47"/>
        <v>-36.64013216270314</v>
      </c>
      <c r="W38" s="5">
        <f t="shared" si="47"/>
        <v>-37.372934805956675</v>
      </c>
      <c r="X38" s="5">
        <f t="shared" si="47"/>
        <v>-38.12039350207624</v>
      </c>
      <c r="Y38" s="5">
        <f t="shared" si="47"/>
        <v>-38.88280137211768</v>
      </c>
      <c r="Z38" s="5">
        <f t="shared" si="47"/>
        <v>-39.66045739955939</v>
      </c>
      <c r="AA38" s="5">
        <f t="shared" si="47"/>
        <v>-40.45366654755139</v>
      </c>
      <c r="AB38" s="5">
        <f t="shared" si="47"/>
        <v>-41.26273987850209</v>
      </c>
    </row>
    <row r="39" spans="1:28" ht="12" customHeight="1">
      <c r="A39" s="125">
        <v>26</v>
      </c>
      <c r="B39" s="148"/>
      <c r="C39" s="133" t="s">
        <v>30</v>
      </c>
      <c r="D39" s="149"/>
      <c r="E39" s="68">
        <f aca="true" t="shared" si="48" ref="E39:N39">D9-E9</f>
        <v>-300</v>
      </c>
      <c r="F39" s="58">
        <f t="shared" si="48"/>
        <v>-900</v>
      </c>
      <c r="G39" s="58">
        <f t="shared" si="48"/>
        <v>-400</v>
      </c>
      <c r="H39" s="58">
        <f t="shared" si="48"/>
        <v>-200</v>
      </c>
      <c r="I39" s="58">
        <f t="shared" si="48"/>
        <v>-200</v>
      </c>
      <c r="J39" s="56">
        <f t="shared" si="48"/>
        <v>-400</v>
      </c>
      <c r="K39" s="56">
        <f t="shared" si="48"/>
        <v>-304</v>
      </c>
      <c r="L39" s="65">
        <f t="shared" si="48"/>
        <v>-310.0799999999999</v>
      </c>
      <c r="M39" s="65">
        <f t="shared" si="48"/>
        <v>-316.28160000000025</v>
      </c>
      <c r="N39" s="65">
        <f t="shared" si="48"/>
        <v>-322.6072319999985</v>
      </c>
      <c r="O39" s="32">
        <f aca="true" t="shared" si="49" ref="O39:AB39">N9-O9</f>
        <v>-329.05937664000066</v>
      </c>
      <c r="P39" s="4">
        <f t="shared" si="49"/>
        <v>-335.6405641727997</v>
      </c>
      <c r="Q39" s="4">
        <f t="shared" si="49"/>
        <v>-342.3533754562559</v>
      </c>
      <c r="R39" s="4">
        <f t="shared" si="49"/>
        <v>-349.2004429653807</v>
      </c>
      <c r="S39" s="4">
        <f t="shared" si="49"/>
        <v>-356.18445182468895</v>
      </c>
      <c r="T39" s="4">
        <f t="shared" si="49"/>
        <v>-363.3081408611815</v>
      </c>
      <c r="U39" s="4">
        <f t="shared" si="49"/>
        <v>-370.57430367840516</v>
      </c>
      <c r="V39" s="4">
        <f t="shared" si="49"/>
        <v>-377.98578975197415</v>
      </c>
      <c r="W39" s="4">
        <f t="shared" si="49"/>
        <v>-385.5455055470138</v>
      </c>
      <c r="X39" s="4">
        <f t="shared" si="49"/>
        <v>-393.25641565795377</v>
      </c>
      <c r="Y39" s="4">
        <f t="shared" si="49"/>
        <v>-401.1215439711141</v>
      </c>
      <c r="Z39" s="4">
        <f t="shared" si="49"/>
        <v>-409.1439748505345</v>
      </c>
      <c r="AA39" s="4">
        <f t="shared" si="49"/>
        <v>-417.32685434754785</v>
      </c>
      <c r="AB39" s="4">
        <f t="shared" si="49"/>
        <v>-425.6733914344986</v>
      </c>
    </row>
    <row r="40" spans="1:28" ht="12" customHeight="1">
      <c r="A40" s="126">
        <v>27</v>
      </c>
      <c r="B40" s="150"/>
      <c r="C40" s="36" t="s">
        <v>76</v>
      </c>
      <c r="D40" s="151"/>
      <c r="E40" s="177">
        <f aca="true" t="shared" si="50" ref="E40:N40">E32+E36+E39+E37+E38</f>
        <v>98.79999999999984</v>
      </c>
      <c r="F40" s="177">
        <f t="shared" si="50"/>
        <v>25.79999999999984</v>
      </c>
      <c r="G40" s="177">
        <f t="shared" si="50"/>
        <v>44.29999999999984</v>
      </c>
      <c r="H40" s="177">
        <f t="shared" si="50"/>
        <v>3.2999999999999545</v>
      </c>
      <c r="I40" s="177">
        <f t="shared" si="50"/>
        <v>85</v>
      </c>
      <c r="J40" s="177">
        <f t="shared" si="50"/>
        <v>16.799999999999955</v>
      </c>
      <c r="K40" s="177">
        <f t="shared" si="50"/>
        <v>53.89999999999998</v>
      </c>
      <c r="L40" s="177">
        <f t="shared" si="50"/>
        <v>86.44400000000019</v>
      </c>
      <c r="M40" s="177">
        <f t="shared" si="50"/>
        <v>41.182879999999386</v>
      </c>
      <c r="N40" s="177">
        <f t="shared" si="50"/>
        <v>383.92053760000135</v>
      </c>
      <c r="O40" s="178">
        <f aca="true" t="shared" si="51" ref="O40:AB40">O32+O36+O39+O37+O38</f>
        <v>391.5989483519993</v>
      </c>
      <c r="P40" s="48">
        <f t="shared" si="51"/>
        <v>399.43092731904017</v>
      </c>
      <c r="Q40" s="48">
        <f t="shared" si="51"/>
        <v>407.41954586542056</v>
      </c>
      <c r="R40" s="48">
        <f t="shared" si="51"/>
        <v>415.5679367827297</v>
      </c>
      <c r="S40" s="48">
        <f t="shared" si="51"/>
        <v>423.87929551838374</v>
      </c>
      <c r="T40" s="48">
        <f t="shared" si="51"/>
        <v>432.3568814287521</v>
      </c>
      <c r="U40" s="48">
        <f t="shared" si="51"/>
        <v>441.00401905732724</v>
      </c>
      <c r="V40" s="48">
        <f t="shared" si="51"/>
        <v>449.824099438473</v>
      </c>
      <c r="W40" s="48">
        <f t="shared" si="51"/>
        <v>458.8205814272428</v>
      </c>
      <c r="X40" s="48">
        <f t="shared" si="51"/>
        <v>467.99699305578747</v>
      </c>
      <c r="Y40" s="48">
        <f t="shared" si="51"/>
        <v>477.356932916902</v>
      </c>
      <c r="Z40" s="48">
        <f t="shared" si="51"/>
        <v>486.90407157524237</v>
      </c>
      <c r="AA40" s="48">
        <f t="shared" si="51"/>
        <v>496.6421530067439</v>
      </c>
      <c r="AB40" s="48">
        <f t="shared" si="51"/>
        <v>506.5749960668793</v>
      </c>
    </row>
    <row r="41" spans="1:28" ht="12" customHeight="1">
      <c r="A41" s="126">
        <v>28</v>
      </c>
      <c r="B41" s="150"/>
      <c r="C41" s="36" t="s">
        <v>31</v>
      </c>
      <c r="D41" s="151"/>
      <c r="E41" s="177">
        <f>E40+E29-E37</f>
        <v>224.79999999999984</v>
      </c>
      <c r="F41" s="177">
        <f aca="true" t="shared" si="52" ref="F41:U41">F40+F29-F37</f>
        <v>-348.20000000000016</v>
      </c>
      <c r="G41" s="177">
        <f t="shared" si="52"/>
        <v>205.29999999999987</v>
      </c>
      <c r="H41" s="177">
        <f t="shared" si="52"/>
        <v>464.29999999999995</v>
      </c>
      <c r="I41" s="177">
        <f t="shared" si="52"/>
        <v>425</v>
      </c>
      <c r="J41" s="177">
        <f t="shared" si="52"/>
        <v>242.79999999999995</v>
      </c>
      <c r="K41" s="177">
        <f t="shared" si="52"/>
        <v>372.9</v>
      </c>
      <c r="L41" s="177">
        <f t="shared" si="52"/>
        <v>391.4440000000002</v>
      </c>
      <c r="M41" s="177">
        <f t="shared" si="52"/>
        <v>432.1828799999994</v>
      </c>
      <c r="N41" s="177">
        <f t="shared" si="52"/>
        <v>433.92053760000135</v>
      </c>
      <c r="O41" s="178">
        <f t="shared" si="52"/>
        <v>442.5989483519992</v>
      </c>
      <c r="P41" s="35">
        <f t="shared" si="52"/>
        <v>451.4509273190402</v>
      </c>
      <c r="Q41" s="35">
        <f t="shared" si="52"/>
        <v>460.4799458654206</v>
      </c>
      <c r="R41" s="35">
        <f t="shared" si="52"/>
        <v>469.6895447827298</v>
      </c>
      <c r="S41" s="35">
        <f t="shared" si="52"/>
        <v>479.08333567838383</v>
      </c>
      <c r="T41" s="35">
        <f t="shared" si="52"/>
        <v>488.665002391952</v>
      </c>
      <c r="U41" s="35">
        <f t="shared" si="52"/>
        <v>498.4383024397912</v>
      </c>
      <c r="V41" s="48"/>
      <c r="W41" s="48"/>
      <c r="X41" s="48"/>
      <c r="Y41" s="48"/>
      <c r="Z41" s="48"/>
      <c r="AA41" s="48"/>
      <c r="AB41" s="48"/>
    </row>
    <row r="42" spans="1:28" s="7" customFormat="1" ht="12" customHeight="1">
      <c r="A42" s="126">
        <v>29</v>
      </c>
      <c r="B42" s="153"/>
      <c r="C42" s="36" t="s">
        <v>32</v>
      </c>
      <c r="D42" s="88"/>
      <c r="E42" s="177">
        <f>E40+E29*(1-$D1)-E37</f>
        <v>186.99999999999983</v>
      </c>
      <c r="F42" s="177">
        <f>F40+F29*(1-$D1)-F37</f>
        <v>-386.00000000000017</v>
      </c>
      <c r="G42" s="177">
        <f>G40+G29*(1-$D1)-G37</f>
        <v>156.99999999999986</v>
      </c>
      <c r="H42" s="177">
        <f>H40+H29*(1-$D1)-H37</f>
        <v>416</v>
      </c>
      <c r="I42" s="177">
        <f>I40+I29*(1-$D1)-I37</f>
        <v>383</v>
      </c>
      <c r="J42" s="177">
        <f>J40+J29*(1-$D1)-J37</f>
        <v>204.99999999999994</v>
      </c>
      <c r="K42" s="177">
        <f>K40+K29*(1-$D1)-K37</f>
        <v>337.2</v>
      </c>
      <c r="L42" s="177">
        <f>L40+L29*(1-$D1)-L37</f>
        <v>359.9440000000002</v>
      </c>
      <c r="M42" s="177">
        <f>M40+M29*(1-$D1)-M37</f>
        <v>404.8828799999994</v>
      </c>
      <c r="N42" s="177">
        <f>N40+N29*(1-$D1)-N37</f>
        <v>412.92053760000135</v>
      </c>
      <c r="O42" s="178">
        <f>O40+O29*(1-$D1)-O37</f>
        <v>421.1789483519992</v>
      </c>
      <c r="P42" s="48">
        <f>P40+P29*(1-$D1)-P37</f>
        <v>429.6025273190402</v>
      </c>
      <c r="Q42" s="48">
        <f>Q40+Q29*(1-$D1)-Q37</f>
        <v>438.19457786542057</v>
      </c>
      <c r="R42" s="48">
        <f>R40+R29*(1-$D1)-R37</f>
        <v>446.95846942272976</v>
      </c>
      <c r="S42" s="48">
        <f>S40+S29*(1-$D1)-S37</f>
        <v>455.8976388111838</v>
      </c>
      <c r="T42" s="48">
        <f>T40+T29*(1-$D1)-T37</f>
        <v>465.015591587408</v>
      </c>
      <c r="U42" s="48">
        <f>U40+U29*(1-$D1)-U37</f>
        <v>474.3159034191563</v>
      </c>
      <c r="V42" s="48">
        <f>V40+V29*(1-$D1)-V37</f>
        <v>483.80222148753865</v>
      </c>
      <c r="W42" s="48">
        <f>W40+W29*(1-$D1)-W37</f>
        <v>493.4782659172897</v>
      </c>
      <c r="X42" s="48">
        <f>X40+X29*(1-$D1)-X37</f>
        <v>503.34783123563534</v>
      </c>
      <c r="Y42" s="48">
        <f>Y40+Y29*(1-$D1)-Y37</f>
        <v>513.4147878603469</v>
      </c>
      <c r="Z42" s="48">
        <f>Z40+Z29*(1-$D1)-Z37</f>
        <v>523.6830836175561</v>
      </c>
      <c r="AA42" s="48">
        <f>AA40+AA29*(1-$D1)-AA37</f>
        <v>534.1567452899039</v>
      </c>
      <c r="AB42" s="48">
        <f>AB40+AB29*(1-$D1)-AB37</f>
        <v>544.8398801957026</v>
      </c>
    </row>
    <row r="43" spans="1:28" ht="12" customHeight="1">
      <c r="A43" s="124">
        <v>30</v>
      </c>
      <c r="B43" s="156"/>
      <c r="C43" s="157" t="s">
        <v>33</v>
      </c>
      <c r="D43" s="158"/>
      <c r="E43" s="159"/>
      <c r="F43" s="160">
        <f aca="true" t="shared" si="53" ref="F43:O43">F40/E40-1</f>
        <v>-0.7388663967611349</v>
      </c>
      <c r="G43" s="160">
        <f t="shared" si="53"/>
        <v>0.7170542635658959</v>
      </c>
      <c r="H43" s="160">
        <f t="shared" si="53"/>
        <v>-0.9255079006772017</v>
      </c>
      <c r="I43" s="160">
        <f t="shared" si="53"/>
        <v>24.757575757576113</v>
      </c>
      <c r="J43" s="160">
        <f t="shared" si="53"/>
        <v>-0.8023529411764712</v>
      </c>
      <c r="K43" s="160">
        <f t="shared" si="53"/>
        <v>2.2083333333333406</v>
      </c>
      <c r="L43" s="160">
        <f t="shared" si="53"/>
        <v>0.6037847866419337</v>
      </c>
      <c r="M43" s="160">
        <f t="shared" si="53"/>
        <v>-0.5235889130535456</v>
      </c>
      <c r="N43" s="160">
        <f t="shared" si="53"/>
        <v>8.322333396790293</v>
      </c>
      <c r="O43" s="160">
        <f t="shared" si="53"/>
        <v>0.019999999999994467</v>
      </c>
      <c r="P43" s="161">
        <f aca="true" t="shared" si="54" ref="P43:AB43">P40/O40-1</f>
        <v>0.020000000000002238</v>
      </c>
      <c r="Q43" s="85">
        <f t="shared" si="54"/>
        <v>0.019999999999998908</v>
      </c>
      <c r="R43" s="9">
        <f t="shared" si="54"/>
        <v>0.020000000000001794</v>
      </c>
      <c r="S43" s="9">
        <f t="shared" si="54"/>
        <v>0.019999999999998685</v>
      </c>
      <c r="T43" s="9">
        <f t="shared" si="54"/>
        <v>0.020000000000001572</v>
      </c>
      <c r="U43" s="9">
        <f t="shared" si="54"/>
        <v>0.02000000000000024</v>
      </c>
      <c r="V43" s="9">
        <f t="shared" si="54"/>
        <v>0.01999999999999824</v>
      </c>
      <c r="W43" s="9">
        <f t="shared" si="54"/>
        <v>0.020000000000000684</v>
      </c>
      <c r="X43" s="9">
        <f t="shared" si="54"/>
        <v>0.019999999999999574</v>
      </c>
      <c r="Y43" s="9">
        <f t="shared" si="54"/>
        <v>0.019999999999997353</v>
      </c>
      <c r="Z43" s="9">
        <f t="shared" si="54"/>
        <v>0.020000000000004903</v>
      </c>
      <c r="AA43" s="9">
        <f t="shared" si="54"/>
        <v>0.019999999999993134</v>
      </c>
      <c r="AB43" s="9">
        <f t="shared" si="54"/>
        <v>0.020000000000000906</v>
      </c>
    </row>
    <row r="44" spans="1:28" s="39" customFormat="1" ht="12" customHeight="1">
      <c r="A44" s="126">
        <v>31</v>
      </c>
      <c r="B44" s="150"/>
      <c r="C44" s="83" t="s">
        <v>34</v>
      </c>
      <c r="D44" s="154"/>
      <c r="E44" s="90"/>
      <c r="F44" s="91">
        <f aca="true" t="shared" si="55" ref="F44:O44">F42/E42-1</f>
        <v>-3.0641711229946553</v>
      </c>
      <c r="G44" s="91">
        <f t="shared" si="55"/>
        <v>-1.4067357512953362</v>
      </c>
      <c r="H44" s="91">
        <f t="shared" si="55"/>
        <v>1.649681528662423</v>
      </c>
      <c r="I44" s="91">
        <f t="shared" si="55"/>
        <v>-0.07932692307692313</v>
      </c>
      <c r="J44" s="91">
        <f t="shared" si="55"/>
        <v>-0.4647519582245432</v>
      </c>
      <c r="K44" s="91">
        <f t="shared" si="55"/>
        <v>0.6448780487804882</v>
      </c>
      <c r="L44" s="91">
        <f t="shared" si="55"/>
        <v>0.06744958481613339</v>
      </c>
      <c r="M44" s="91">
        <f t="shared" si="55"/>
        <v>0.12484964327784098</v>
      </c>
      <c r="N44" s="91">
        <f t="shared" si="55"/>
        <v>0.01985180899721417</v>
      </c>
      <c r="O44" s="91">
        <f t="shared" si="55"/>
        <v>0.01999999999999469</v>
      </c>
      <c r="P44" s="162">
        <f aca="true" t="shared" si="56" ref="P44:AB44">P42/O42-1</f>
        <v>0.020000000000002238</v>
      </c>
      <c r="Q44" s="86">
        <f t="shared" si="56"/>
        <v>0.01999999999999913</v>
      </c>
      <c r="R44" s="84">
        <f t="shared" si="56"/>
        <v>0.020000000000001794</v>
      </c>
      <c r="S44" s="84">
        <f t="shared" si="56"/>
        <v>0.019999999999998685</v>
      </c>
      <c r="T44" s="84">
        <f t="shared" si="56"/>
        <v>0.020000000000001128</v>
      </c>
      <c r="U44" s="84">
        <f t="shared" si="56"/>
        <v>0.020000000000000462</v>
      </c>
      <c r="V44" s="84">
        <f t="shared" si="56"/>
        <v>0.01999999999999824</v>
      </c>
      <c r="W44" s="84">
        <f t="shared" si="56"/>
        <v>0.020000000000000684</v>
      </c>
      <c r="X44" s="84">
        <f t="shared" si="56"/>
        <v>0.019999999999999574</v>
      </c>
      <c r="Y44" s="84">
        <f t="shared" si="56"/>
        <v>0.019999999999997797</v>
      </c>
      <c r="Z44" s="84">
        <f t="shared" si="56"/>
        <v>0.02000000000000446</v>
      </c>
      <c r="AA44" s="84">
        <f t="shared" si="56"/>
        <v>0.01999999999999358</v>
      </c>
      <c r="AB44" s="84">
        <f t="shared" si="56"/>
        <v>0.020000000000001128</v>
      </c>
    </row>
    <row r="45" spans="1:28" ht="10.5" hidden="1">
      <c r="A45" s="19"/>
      <c r="C45" s="6"/>
      <c r="D45" s="6"/>
      <c r="E45" s="9"/>
      <c r="F45" s="9"/>
      <c r="G45" s="9"/>
      <c r="H45" s="9"/>
      <c r="I45" s="9"/>
      <c r="J45" s="9"/>
      <c r="K45" s="9"/>
      <c r="L45" s="9"/>
      <c r="M45" s="14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0.5" hidden="1">
      <c r="A46" s="19">
        <v>31</v>
      </c>
      <c r="C46" s="6" t="s">
        <v>35</v>
      </c>
      <c r="D46" s="6"/>
      <c r="E46" s="9">
        <f aca="true" t="shared" si="57" ref="E46:N46">E31/E42</f>
        <v>0.2631016042780747</v>
      </c>
      <c r="F46" s="9">
        <f t="shared" si="57"/>
        <v>-0.15854922279792721</v>
      </c>
      <c r="G46" s="9">
        <f t="shared" si="57"/>
        <v>0.30382165605095524</v>
      </c>
      <c r="H46" s="9">
        <f t="shared" si="57"/>
        <v>0.07139423076923074</v>
      </c>
      <c r="I46" s="9">
        <f t="shared" si="57"/>
        <v>0.2819843342036554</v>
      </c>
      <c r="J46" s="9">
        <f t="shared" si="57"/>
        <v>0.6351219512195123</v>
      </c>
      <c r="K46" s="9">
        <f t="shared" si="57"/>
        <v>0.40658362989323843</v>
      </c>
      <c r="L46" s="9">
        <f t="shared" si="57"/>
        <v>0.42083212944235754</v>
      </c>
      <c r="M46" s="14">
        <f t="shared" si="57"/>
        <v>0.39353484148304846</v>
      </c>
      <c r="N46" s="9">
        <f t="shared" si="57"/>
        <v>0.4101714857401158</v>
      </c>
      <c r="O46" s="9">
        <f aca="true" t="shared" si="58" ref="O46:AB46">O31/O42</f>
        <v>0.4101714857401179</v>
      </c>
      <c r="P46" s="9">
        <f t="shared" si="58"/>
        <v>0.410171485740117</v>
      </c>
      <c r="Q46" s="9">
        <f t="shared" si="58"/>
        <v>0.41017148574011736</v>
      </c>
      <c r="R46" s="9">
        <f t="shared" si="58"/>
        <v>0.41017148574011675</v>
      </c>
      <c r="S46" s="9">
        <f t="shared" si="58"/>
        <v>0.4101714857401173</v>
      </c>
      <c r="T46" s="9">
        <f t="shared" si="58"/>
        <v>0.41017148574011675</v>
      </c>
      <c r="U46" s="9">
        <f t="shared" si="58"/>
        <v>0.41017148574011675</v>
      </c>
      <c r="V46" s="9">
        <f t="shared" si="58"/>
        <v>0.41017148574011747</v>
      </c>
      <c r="W46" s="9">
        <f t="shared" si="58"/>
        <v>0.41017148574011725</v>
      </c>
      <c r="X46" s="9">
        <f t="shared" si="58"/>
        <v>0.4101714857401172</v>
      </c>
      <c r="Y46" s="9">
        <f t="shared" si="58"/>
        <v>0.4101714857401183</v>
      </c>
      <c r="Z46" s="9">
        <f t="shared" si="58"/>
        <v>0.41017148574011625</v>
      </c>
      <c r="AA46" s="9">
        <f t="shared" si="58"/>
        <v>0.4101714857401189</v>
      </c>
      <c r="AB46" s="9">
        <f t="shared" si="58"/>
        <v>0.4101714857401185</v>
      </c>
    </row>
    <row r="47" spans="1:28" ht="10.5" hidden="1">
      <c r="A47" s="19">
        <v>32</v>
      </c>
      <c r="C47" s="6" t="s">
        <v>36</v>
      </c>
      <c r="D47" s="6"/>
      <c r="E47" s="9">
        <f aca="true" t="shared" si="59" ref="E47:N47">E31/E40</f>
        <v>0.4979757085020244</v>
      </c>
      <c r="F47" s="9">
        <f t="shared" si="59"/>
        <v>2.372093023255826</v>
      </c>
      <c r="G47" s="9">
        <f t="shared" si="59"/>
        <v>1.0767494356659164</v>
      </c>
      <c r="H47" s="9">
        <f t="shared" si="59"/>
        <v>9.00000000000012</v>
      </c>
      <c r="I47" s="9">
        <f t="shared" si="59"/>
        <v>1.2705882352941176</v>
      </c>
      <c r="J47" s="9">
        <f t="shared" si="59"/>
        <v>7.75000000000002</v>
      </c>
      <c r="K47" s="9">
        <f t="shared" si="59"/>
        <v>2.5435992578849733</v>
      </c>
      <c r="L47" s="9">
        <f t="shared" si="59"/>
        <v>1.7523020683910937</v>
      </c>
      <c r="M47" s="14">
        <f t="shared" si="59"/>
        <v>3.8689746807411787</v>
      </c>
      <c r="N47" s="9">
        <f t="shared" si="59"/>
        <v>0.4411543895483421</v>
      </c>
      <c r="O47" s="9">
        <f aca="true" t="shared" si="60" ref="O47:AB47">O31/O40</f>
        <v>0.44115438954834446</v>
      </c>
      <c r="P47" s="9">
        <f t="shared" si="60"/>
        <v>0.44115438954834346</v>
      </c>
      <c r="Q47" s="9">
        <f t="shared" si="60"/>
        <v>0.4411543895483439</v>
      </c>
      <c r="R47" s="9">
        <f t="shared" si="60"/>
        <v>0.44115438954834324</v>
      </c>
      <c r="S47" s="9">
        <f t="shared" si="60"/>
        <v>0.4411543895483439</v>
      </c>
      <c r="T47" s="9">
        <f t="shared" si="60"/>
        <v>0.441154389548343</v>
      </c>
      <c r="U47" s="9">
        <f t="shared" si="60"/>
        <v>0.4411543895483431</v>
      </c>
      <c r="V47" s="9">
        <f t="shared" si="60"/>
        <v>0.44115438954834396</v>
      </c>
      <c r="W47" s="9">
        <f t="shared" si="60"/>
        <v>0.44115438954834363</v>
      </c>
      <c r="X47" s="9">
        <f t="shared" si="60"/>
        <v>0.4411543895483436</v>
      </c>
      <c r="Y47" s="9">
        <f t="shared" si="60"/>
        <v>0.44115438954834496</v>
      </c>
      <c r="Z47" s="9">
        <f t="shared" si="60"/>
        <v>0.4411543895483426</v>
      </c>
      <c r="AA47" s="9">
        <f t="shared" si="60"/>
        <v>0.44115438954834557</v>
      </c>
      <c r="AB47" s="9">
        <f t="shared" si="60"/>
        <v>0.4411543895483452</v>
      </c>
    </row>
    <row r="48" spans="1:28" ht="10.5" hidden="1">
      <c r="A48" s="19"/>
      <c r="C48" s="6"/>
      <c r="D48" s="6"/>
      <c r="E48" s="9"/>
      <c r="F48" s="9"/>
      <c r="G48" s="9"/>
      <c r="H48" s="9"/>
      <c r="I48" s="9"/>
      <c r="J48" s="9"/>
      <c r="K48" s="9"/>
      <c r="L48" s="9"/>
      <c r="M48" s="14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0.5" hidden="1">
      <c r="A49" s="19">
        <v>33</v>
      </c>
      <c r="C49" s="6" t="s">
        <v>37</v>
      </c>
      <c r="D49" s="37">
        <f>D90/D16</f>
        <v>4.9002477731001965</v>
      </c>
      <c r="E49" s="37">
        <f>E90/E16</f>
        <v>5.047393961458743</v>
      </c>
      <c r="F49" s="37">
        <f>F90/F16</f>
        <v>4.496027125199178</v>
      </c>
      <c r="G49" s="37">
        <f>G90/G16</f>
        <v>4.427051151305976</v>
      </c>
      <c r="H49" s="37">
        <f>H90/H16</f>
        <v>4.459736161955987</v>
      </c>
      <c r="I49" s="37">
        <f>I90/I16</f>
        <v>3.9402405432622203</v>
      </c>
      <c r="J49" s="37">
        <f>J90/J16</f>
        <v>3.2994909132254984</v>
      </c>
      <c r="K49" s="37">
        <f>K90/K16</f>
        <v>2.939430534478825</v>
      </c>
      <c r="L49" s="37">
        <f>L90/L16</f>
        <v>2.6848289797291542</v>
      </c>
      <c r="M49" s="29">
        <f>M90/M16</f>
        <v>2.456489153388368</v>
      </c>
      <c r="N49" s="37">
        <f>N90/N16</f>
        <v>2.4921368064492717</v>
      </c>
      <c r="O49" s="37">
        <f>O90/O16</f>
        <v>2.5281043615596754</v>
      </c>
      <c r="P49" s="37">
        <f>P90/P16</f>
        <v>2.564388997628433</v>
      </c>
      <c r="Q49" s="37">
        <f>Q90/Q16</f>
        <v>2.6009877181872736</v>
      </c>
      <c r="R49" s="37">
        <f>R90/R16</f>
        <v>1.3404684583390636</v>
      </c>
      <c r="S49" s="37">
        <f>S90/S16</f>
        <v>1.2626241975442702</v>
      </c>
      <c r="T49" s="37">
        <f>T90/T16</f>
        <v>1.1750051371870376</v>
      </c>
      <c r="U49" s="37">
        <f>U90/U16</f>
        <v>1.0767370321545724</v>
      </c>
      <c r="V49" s="37">
        <f>V90/V16</f>
        <v>0.966871444405731</v>
      </c>
      <c r="W49" s="37">
        <f>W90/W16</f>
        <v>0.8443795586583519</v>
      </c>
      <c r="X49" s="37">
        <f>X90/X16</f>
        <v>0.7081454911496688</v>
      </c>
      <c r="Y49" s="37">
        <f>Y90/Y16</f>
        <v>0.5569590506954013</v>
      </c>
      <c r="Z49" s="37">
        <f>Z90/Z16</f>
        <v>0.3895079080573356</v>
      </c>
      <c r="AA49" s="37">
        <f>AA90/AA16</f>
        <v>0.20436912616445674</v>
      </c>
      <c r="AB49" s="37">
        <f>AB90/AB16</f>
        <v>0</v>
      </c>
    </row>
    <row r="50" spans="1:28" ht="10.5" hidden="1">
      <c r="A50" s="19">
        <v>34</v>
      </c>
      <c r="C50" s="6" t="s">
        <v>38</v>
      </c>
      <c r="D50" s="37">
        <f>D90/E32</f>
        <v>21.342542565767435</v>
      </c>
      <c r="E50" s="37">
        <f>E90/F32</f>
        <v>18.238482381741697</v>
      </c>
      <c r="F50" s="37">
        <f>F90/G32</f>
        <v>25.570396857601835</v>
      </c>
      <c r="G50" s="37">
        <f>G90/H32</f>
        <v>44.717688397030074</v>
      </c>
      <c r="H50" s="37">
        <f>H90/I32</f>
        <v>13.556182143088435</v>
      </c>
      <c r="I50" s="37">
        <f>I90/J32</f>
        <v>12.100870397839536</v>
      </c>
      <c r="J50" s="37">
        <f>J90/K32</f>
        <v>12.583241369600213</v>
      </c>
      <c r="K50" s="37">
        <f>K90/L32</f>
        <v>12.358375794285752</v>
      </c>
      <c r="L50" s="37">
        <f>L90/M32</f>
        <v>12.6592843690522</v>
      </c>
      <c r="M50" s="29">
        <f>M90/N32</f>
        <v>12.951511764578438</v>
      </c>
      <c r="N50" s="37">
        <f>N90/O32</f>
        <v>12.951511764578417</v>
      </c>
      <c r="O50" s="37">
        <f>O90/P32</f>
        <v>12.95151176457845</v>
      </c>
      <c r="P50" s="37">
        <f>P90/Q32</f>
        <v>12.951511764578408</v>
      </c>
      <c r="Q50" s="37">
        <f>Q90/R32</f>
        <v>12.951511764578411</v>
      </c>
      <c r="R50" s="37">
        <f>R90/S32</f>
        <v>6.581413414448798</v>
      </c>
      <c r="S50" s="37">
        <f>S90/T32</f>
        <v>6.112968950014225</v>
      </c>
      <c r="T50" s="37">
        <f>T90/U32</f>
        <v>5.610076003908251</v>
      </c>
      <c r="U50" s="37">
        <f>U90/V32</f>
        <v>5.070201302755791</v>
      </c>
      <c r="V50" s="37">
        <f>V90/W32</f>
        <v>4.4906252812559035</v>
      </c>
      <c r="W50" s="37">
        <f>W90/X32</f>
        <v>3.868428382641124</v>
      </c>
      <c r="X50" s="37">
        <f>X90/Y32</f>
        <v>3.2004763516996158</v>
      </c>
      <c r="Y50" s="37">
        <f>Y90/Z32</f>
        <v>2.4834044462751668</v>
      </c>
      <c r="Z50" s="37">
        <f>Z90/AA32</f>
        <v>1.7136004877120339</v>
      </c>
      <c r="AA50" s="37">
        <f>AA90/AB32</f>
        <v>0.8871866648629999</v>
      </c>
      <c r="AB50" s="37" t="e">
        <f>AB90/AC32</f>
        <v>#DIV/0!</v>
      </c>
    </row>
    <row r="51" spans="1:28" ht="10.5" hidden="1">
      <c r="A51" s="19">
        <v>35</v>
      </c>
      <c r="C51" s="6" t="s">
        <v>39</v>
      </c>
      <c r="D51" s="37"/>
      <c r="E51" s="37">
        <f>E90/E32</f>
        <v>22.686892718751874</v>
      </c>
      <c r="F51" s="37">
        <f>F90/F32</f>
        <v>19.929868139013184</v>
      </c>
      <c r="G51" s="37">
        <f>G90/G32</f>
        <v>27.843089001924426</v>
      </c>
      <c r="H51" s="37">
        <f>H90/H32</f>
        <v>49.29520779304887</v>
      </c>
      <c r="I51" s="37">
        <f>I90/I32</f>
        <v>14.58827153517322</v>
      </c>
      <c r="J51" s="37">
        <f>J90/J32</f>
        <v>13.250095174901606</v>
      </c>
      <c r="K51" s="37">
        <f>K90/K32</f>
        <v>13.654247496828804</v>
      </c>
      <c r="L51" s="37">
        <f>L90/L32</f>
        <v>13.316127028511463</v>
      </c>
      <c r="M51" s="29">
        <f>M90/M32</f>
        <v>13.767015845377301</v>
      </c>
      <c r="N51" s="37">
        <f>N90/N32</f>
        <v>13.210541999869985</v>
      </c>
      <c r="O51" s="37">
        <f>O90/O32</f>
        <v>13.21054199987002</v>
      </c>
      <c r="P51" s="37">
        <f>P90/P32</f>
        <v>13.210541999869973</v>
      </c>
      <c r="Q51" s="37">
        <f>Q90/Q32</f>
        <v>13.210541999869982</v>
      </c>
      <c r="R51" s="37">
        <f>R90/R32</f>
        <v>6.713041682737776</v>
      </c>
      <c r="S51" s="37">
        <f>S90/S32</f>
        <v>6.2352283290145065</v>
      </c>
      <c r="T51" s="37">
        <f>T90/T32</f>
        <v>5.7222775239864205</v>
      </c>
      <c r="U51" s="37">
        <f>U90/U32</f>
        <v>5.171605328810908</v>
      </c>
      <c r="V51" s="37">
        <f>V90/V32</f>
        <v>4.5804377868810215</v>
      </c>
      <c r="W51" s="37">
        <f>W90/W32</f>
        <v>3.945796950293945</v>
      </c>
      <c r="X51" s="37">
        <f>X90/X32</f>
        <v>3.2644858787336086</v>
      </c>
      <c r="Y51" s="37">
        <f>Y90/Y32</f>
        <v>2.533072535200669</v>
      </c>
      <c r="Z51" s="37">
        <f>Z90/Z32</f>
        <v>1.747872497466275</v>
      </c>
      <c r="AA51" s="37">
        <f>AA90/AA32</f>
        <v>0.9049303981602599</v>
      </c>
      <c r="AB51" s="37">
        <f>AB90/AB32</f>
        <v>0</v>
      </c>
    </row>
    <row r="52" spans="1:28" ht="10.5" hidden="1">
      <c r="A52" s="19">
        <v>36</v>
      </c>
      <c r="C52" s="6" t="s">
        <v>40</v>
      </c>
      <c r="D52" s="37">
        <f>D90/E40</f>
        <v>24.798824762652856</v>
      </c>
      <c r="E52" s="37">
        <f>E90/F40</f>
        <v>100.94787922917548</v>
      </c>
      <c r="F52" s="37">
        <f>F90/G40</f>
        <v>64.24345756774468</v>
      </c>
      <c r="G52" s="37">
        <f>G90/H40</f>
        <v>939.0714563376442</v>
      </c>
      <c r="H52" s="37">
        <f>H90/I40</f>
        <v>40.19009294186218</v>
      </c>
      <c r="I52" s="37">
        <f>I90/J40</f>
        <v>218.8240730275989</v>
      </c>
      <c r="J52" s="37">
        <f>J90/K40</f>
        <v>74.68235462217272</v>
      </c>
      <c r="K52" s="37">
        <f>K90/L40</f>
        <v>50.529750754656476</v>
      </c>
      <c r="L52" s="37">
        <f>L90/M40</f>
        <v>114.28305163371957</v>
      </c>
      <c r="M52" s="29">
        <f>M90/N40</f>
        <v>13.3317712878718</v>
      </c>
      <c r="N52" s="37">
        <f>N90/O40</f>
        <v>13.33177128787185</v>
      </c>
      <c r="O52" s="37">
        <f>O90/P40</f>
        <v>13.331771287871858</v>
      </c>
      <c r="P52" s="37">
        <f>P90/Q40</f>
        <v>13.331771287871824</v>
      </c>
      <c r="Q52" s="37">
        <f>Q90/R40</f>
        <v>13.331771287871806</v>
      </c>
      <c r="R52" s="37">
        <f>R90/S40</f>
        <v>6.774645306838363</v>
      </c>
      <c r="S52" s="37">
        <f>S90/T40</f>
        <v>6.292447199433502</v>
      </c>
      <c r="T52" s="37">
        <f>T90/U40</f>
        <v>5.774789194589224</v>
      </c>
      <c r="U52" s="37">
        <f>U90/V40</f>
        <v>5.219063641410382</v>
      </c>
      <c r="V52" s="37">
        <f>V90/W40</f>
        <v>4.622471127499883</v>
      </c>
      <c r="W52" s="37">
        <f>W90/X40</f>
        <v>3.98200637719624</v>
      </c>
      <c r="X52" s="37">
        <f>X90/Y40</f>
        <v>3.294443112795235</v>
      </c>
      <c r="Y52" s="37">
        <f>Y90/Z40</f>
        <v>2.556317802495709</v>
      </c>
      <c r="Z52" s="37">
        <f>Z90/AA40</f>
        <v>1.7639122132014826</v>
      </c>
      <c r="AA52" s="37">
        <f>AA90/AB40</f>
        <v>0.9132346802904944</v>
      </c>
      <c r="AB52" s="37" t="e">
        <f>AB90/AC40</f>
        <v>#DIV/0!</v>
      </c>
    </row>
    <row r="53" spans="1:13" ht="12" customHeight="1">
      <c r="A53" s="19"/>
      <c r="B53" s="24"/>
      <c r="C53" s="13"/>
      <c r="D53" s="13"/>
      <c r="E53" s="24"/>
      <c r="F53" s="8"/>
      <c r="G53" s="24"/>
      <c r="H53" s="16"/>
      <c r="M53" s="30"/>
    </row>
    <row r="54" spans="1:13" ht="12" customHeight="1">
      <c r="A54" s="19"/>
      <c r="B54" s="24"/>
      <c r="C54" s="13"/>
      <c r="D54" s="13"/>
      <c r="E54" s="24"/>
      <c r="F54" s="8"/>
      <c r="G54" s="24"/>
      <c r="H54" s="16"/>
      <c r="M54" s="30"/>
    </row>
    <row r="55" spans="1:28" ht="10.5" customHeight="1">
      <c r="A55" s="19"/>
      <c r="B55"/>
      <c r="C55"/>
      <c r="D55" s="78">
        <v>0</v>
      </c>
      <c r="E55" s="78">
        <v>1</v>
      </c>
      <c r="F55" s="78">
        <f aca="true" t="shared" si="61" ref="F55:U55">E55+1</f>
        <v>2</v>
      </c>
      <c r="G55" s="78">
        <f t="shared" si="61"/>
        <v>3</v>
      </c>
      <c r="H55" s="78">
        <f t="shared" si="61"/>
        <v>4</v>
      </c>
      <c r="I55" s="78">
        <f t="shared" si="61"/>
        <v>5</v>
      </c>
      <c r="J55" s="78">
        <f t="shared" si="61"/>
        <v>6</v>
      </c>
      <c r="K55" s="78">
        <f t="shared" si="61"/>
        <v>7</v>
      </c>
      <c r="L55" s="78">
        <f t="shared" si="61"/>
        <v>8</v>
      </c>
      <c r="M55" s="78">
        <f t="shared" si="61"/>
        <v>9</v>
      </c>
      <c r="N55" s="78">
        <f t="shared" si="61"/>
        <v>10</v>
      </c>
      <c r="O55" s="78">
        <f t="shared" si="61"/>
        <v>11</v>
      </c>
      <c r="P55" s="78">
        <f t="shared" si="61"/>
        <v>12</v>
      </c>
      <c r="Q55" s="78">
        <f t="shared" si="61"/>
        <v>13</v>
      </c>
      <c r="R55" s="78">
        <f t="shared" si="61"/>
        <v>14</v>
      </c>
      <c r="S55" s="50">
        <f t="shared" si="61"/>
        <v>15</v>
      </c>
      <c r="T55" s="12">
        <f t="shared" si="61"/>
        <v>16</v>
      </c>
      <c r="U55" s="24">
        <f t="shared" si="61"/>
        <v>17</v>
      </c>
      <c r="V55" s="24">
        <f aca="true" t="shared" si="62" ref="V55:AB55">U55+1</f>
        <v>18</v>
      </c>
      <c r="W55" s="24">
        <f t="shared" si="62"/>
        <v>19</v>
      </c>
      <c r="X55" s="24">
        <f t="shared" si="62"/>
        <v>20</v>
      </c>
      <c r="Y55" s="24">
        <f t="shared" si="62"/>
        <v>21</v>
      </c>
      <c r="Z55" s="24">
        <f t="shared" si="62"/>
        <v>22</v>
      </c>
      <c r="AA55" s="24">
        <f t="shared" si="62"/>
        <v>23</v>
      </c>
      <c r="AB55" s="24">
        <f t="shared" si="62"/>
        <v>24</v>
      </c>
    </row>
    <row r="56" spans="1:28" ht="10.5" customHeight="1">
      <c r="A56" s="116">
        <v>32</v>
      </c>
      <c r="B56" s="131"/>
      <c r="C56" s="164" t="s">
        <v>41</v>
      </c>
      <c r="D56" s="96">
        <v>0.8</v>
      </c>
      <c r="E56" s="96">
        <f>D56</f>
        <v>0.8</v>
      </c>
      <c r="F56" s="96">
        <f aca="true" t="shared" si="63" ref="F56:AB56">E56</f>
        <v>0.8</v>
      </c>
      <c r="G56" s="96">
        <f t="shared" si="63"/>
        <v>0.8</v>
      </c>
      <c r="H56" s="96">
        <f t="shared" si="63"/>
        <v>0.8</v>
      </c>
      <c r="I56" s="96">
        <f t="shared" si="63"/>
        <v>0.8</v>
      </c>
      <c r="J56" s="96">
        <f t="shared" si="63"/>
        <v>0.8</v>
      </c>
      <c r="K56" s="96">
        <f t="shared" si="63"/>
        <v>0.8</v>
      </c>
      <c r="L56" s="96">
        <f t="shared" si="63"/>
        <v>0.8</v>
      </c>
      <c r="M56" s="96">
        <f t="shared" si="63"/>
        <v>0.8</v>
      </c>
      <c r="N56" s="96">
        <f t="shared" si="63"/>
        <v>0.8</v>
      </c>
      <c r="O56" s="96">
        <f t="shared" si="63"/>
        <v>0.8</v>
      </c>
      <c r="P56" s="96">
        <f t="shared" si="63"/>
        <v>0.8</v>
      </c>
      <c r="Q56" s="96">
        <f t="shared" si="63"/>
        <v>0.8</v>
      </c>
      <c r="R56" s="96">
        <f t="shared" si="63"/>
        <v>0.8</v>
      </c>
      <c r="S56" s="96">
        <f t="shared" si="63"/>
        <v>0.8</v>
      </c>
      <c r="T56" s="96">
        <f t="shared" si="63"/>
        <v>0.8</v>
      </c>
      <c r="U56" s="96">
        <f t="shared" si="63"/>
        <v>0.8</v>
      </c>
      <c r="V56" s="96">
        <f t="shared" si="63"/>
        <v>0.8</v>
      </c>
      <c r="W56" s="96">
        <f t="shared" si="63"/>
        <v>0.8</v>
      </c>
      <c r="X56" s="96">
        <f t="shared" si="63"/>
        <v>0.8</v>
      </c>
      <c r="Y56" s="96">
        <f t="shared" si="63"/>
        <v>0.8</v>
      </c>
      <c r="Z56" s="96">
        <f t="shared" si="63"/>
        <v>0.8</v>
      </c>
      <c r="AA56" s="96">
        <f t="shared" si="63"/>
        <v>0.8</v>
      </c>
      <c r="AB56" s="96">
        <f t="shared" si="63"/>
        <v>0.8</v>
      </c>
    </row>
    <row r="57" spans="1:28" ht="10.5" customHeight="1">
      <c r="A57" s="119">
        <v>33</v>
      </c>
      <c r="B57" s="133"/>
      <c r="C57" s="149" t="s">
        <v>42</v>
      </c>
      <c r="D57" s="97">
        <v>0.06</v>
      </c>
      <c r="E57" s="97">
        <f>D57</f>
        <v>0.06</v>
      </c>
      <c r="F57" s="97">
        <f aca="true" t="shared" si="64" ref="F57:AB57">E57</f>
        <v>0.06</v>
      </c>
      <c r="G57" s="97">
        <f t="shared" si="64"/>
        <v>0.06</v>
      </c>
      <c r="H57" s="97">
        <f t="shared" si="64"/>
        <v>0.06</v>
      </c>
      <c r="I57" s="97">
        <f t="shared" si="64"/>
        <v>0.06</v>
      </c>
      <c r="J57" s="97">
        <f t="shared" si="64"/>
        <v>0.06</v>
      </c>
      <c r="K57" s="97">
        <f t="shared" si="64"/>
        <v>0.06</v>
      </c>
      <c r="L57" s="97">
        <f t="shared" si="64"/>
        <v>0.06</v>
      </c>
      <c r="M57" s="97">
        <f t="shared" si="64"/>
        <v>0.06</v>
      </c>
      <c r="N57" s="97">
        <f t="shared" si="64"/>
        <v>0.06</v>
      </c>
      <c r="O57" s="97">
        <f t="shared" si="64"/>
        <v>0.06</v>
      </c>
      <c r="P57" s="97">
        <f t="shared" si="64"/>
        <v>0.06</v>
      </c>
      <c r="Q57" s="97">
        <f t="shared" si="64"/>
        <v>0.06</v>
      </c>
      <c r="R57" s="97">
        <f t="shared" si="64"/>
        <v>0.06</v>
      </c>
      <c r="S57" s="97">
        <f t="shared" si="64"/>
        <v>0.06</v>
      </c>
      <c r="T57" s="97">
        <f t="shared" si="64"/>
        <v>0.06</v>
      </c>
      <c r="U57" s="97">
        <f t="shared" si="64"/>
        <v>0.06</v>
      </c>
      <c r="V57" s="97">
        <f t="shared" si="64"/>
        <v>0.06</v>
      </c>
      <c r="W57" s="97">
        <f t="shared" si="64"/>
        <v>0.06</v>
      </c>
      <c r="X57" s="97">
        <f t="shared" si="64"/>
        <v>0.06</v>
      </c>
      <c r="Y57" s="97">
        <f t="shared" si="64"/>
        <v>0.06</v>
      </c>
      <c r="Z57" s="97">
        <f t="shared" si="64"/>
        <v>0.06</v>
      </c>
      <c r="AA57" s="97">
        <f t="shared" si="64"/>
        <v>0.06</v>
      </c>
      <c r="AB57" s="97">
        <f t="shared" si="64"/>
        <v>0.06</v>
      </c>
    </row>
    <row r="58" spans="1:28" ht="10.5" customHeight="1">
      <c r="A58" s="119">
        <v>34</v>
      </c>
      <c r="B58" s="133"/>
      <c r="C58" s="149" t="s">
        <v>43</v>
      </c>
      <c r="D58" s="97">
        <v>0.04</v>
      </c>
      <c r="E58" s="97">
        <f>D58</f>
        <v>0.04</v>
      </c>
      <c r="F58" s="97">
        <f aca="true" t="shared" si="65" ref="F58:AB58">E58</f>
        <v>0.04</v>
      </c>
      <c r="G58" s="97">
        <f t="shared" si="65"/>
        <v>0.04</v>
      </c>
      <c r="H58" s="97">
        <f t="shared" si="65"/>
        <v>0.04</v>
      </c>
      <c r="I58" s="97">
        <f t="shared" si="65"/>
        <v>0.04</v>
      </c>
      <c r="J58" s="97">
        <f t="shared" si="65"/>
        <v>0.04</v>
      </c>
      <c r="K58" s="97">
        <f t="shared" si="65"/>
        <v>0.04</v>
      </c>
      <c r="L58" s="97">
        <f t="shared" si="65"/>
        <v>0.04</v>
      </c>
      <c r="M58" s="97">
        <f t="shared" si="65"/>
        <v>0.04</v>
      </c>
      <c r="N58" s="97">
        <f t="shared" si="65"/>
        <v>0.04</v>
      </c>
      <c r="O58" s="97">
        <f t="shared" si="65"/>
        <v>0.04</v>
      </c>
      <c r="P58" s="97">
        <f t="shared" si="65"/>
        <v>0.04</v>
      </c>
      <c r="Q58" s="97">
        <f t="shared" si="65"/>
        <v>0.04</v>
      </c>
      <c r="R58" s="97">
        <f t="shared" si="65"/>
        <v>0.04</v>
      </c>
      <c r="S58" s="97">
        <f t="shared" si="65"/>
        <v>0.04</v>
      </c>
      <c r="T58" s="97">
        <f t="shared" si="65"/>
        <v>0.04</v>
      </c>
      <c r="U58" s="97">
        <f t="shared" si="65"/>
        <v>0.04</v>
      </c>
      <c r="V58" s="97">
        <f t="shared" si="65"/>
        <v>0.04</v>
      </c>
      <c r="W58" s="97">
        <f t="shared" si="65"/>
        <v>0.04</v>
      </c>
      <c r="X58" s="97">
        <f t="shared" si="65"/>
        <v>0.04</v>
      </c>
      <c r="Y58" s="97">
        <f t="shared" si="65"/>
        <v>0.04</v>
      </c>
      <c r="Z58" s="97">
        <f t="shared" si="65"/>
        <v>0.04</v>
      </c>
      <c r="AA58" s="97">
        <f t="shared" si="65"/>
        <v>0.04</v>
      </c>
      <c r="AB58" s="97">
        <f t="shared" si="65"/>
        <v>0.04</v>
      </c>
    </row>
    <row r="59" spans="1:28" s="7" customFormat="1" ht="10.5" customHeight="1">
      <c r="A59" s="119">
        <v>35</v>
      </c>
      <c r="B59" s="165"/>
      <c r="C59" s="166" t="s">
        <v>44</v>
      </c>
      <c r="D59" s="97">
        <f aca="true" t="shared" si="66" ref="D59:M59">D57+D56*D58</f>
        <v>0.092</v>
      </c>
      <c r="E59" s="97">
        <f t="shared" si="66"/>
        <v>0.092</v>
      </c>
      <c r="F59" s="97">
        <f t="shared" si="66"/>
        <v>0.092</v>
      </c>
      <c r="G59" s="97">
        <f t="shared" si="66"/>
        <v>0.092</v>
      </c>
      <c r="H59" s="97">
        <f t="shared" si="66"/>
        <v>0.092</v>
      </c>
      <c r="I59" s="97">
        <f t="shared" si="66"/>
        <v>0.092</v>
      </c>
      <c r="J59" s="97">
        <f t="shared" si="66"/>
        <v>0.092</v>
      </c>
      <c r="K59" s="97">
        <f t="shared" si="66"/>
        <v>0.092</v>
      </c>
      <c r="L59" s="97">
        <f t="shared" si="66"/>
        <v>0.092</v>
      </c>
      <c r="M59" s="97">
        <f t="shared" si="66"/>
        <v>0.092</v>
      </c>
      <c r="N59" s="97">
        <f aca="true" t="shared" si="67" ref="N59:AB59">N57+N56*N58</f>
        <v>0.092</v>
      </c>
      <c r="O59" s="97">
        <f t="shared" si="67"/>
        <v>0.092</v>
      </c>
      <c r="P59" s="97">
        <f t="shared" si="67"/>
        <v>0.092</v>
      </c>
      <c r="Q59" s="93">
        <f t="shared" si="67"/>
        <v>0.092</v>
      </c>
      <c r="R59" s="93">
        <f t="shared" si="67"/>
        <v>0.092</v>
      </c>
      <c r="S59" s="93">
        <f t="shared" si="67"/>
        <v>0.092</v>
      </c>
      <c r="T59" s="46">
        <f t="shared" si="67"/>
        <v>0.092</v>
      </c>
      <c r="U59" s="46">
        <f t="shared" si="67"/>
        <v>0.092</v>
      </c>
      <c r="V59" s="46">
        <f t="shared" si="67"/>
        <v>0.092</v>
      </c>
      <c r="W59" s="46">
        <f t="shared" si="67"/>
        <v>0.092</v>
      </c>
      <c r="X59" s="46">
        <f t="shared" si="67"/>
        <v>0.092</v>
      </c>
      <c r="Y59" s="46">
        <f t="shared" si="67"/>
        <v>0.092</v>
      </c>
      <c r="Z59" s="46">
        <f t="shared" si="67"/>
        <v>0.092</v>
      </c>
      <c r="AA59" s="46">
        <f t="shared" si="67"/>
        <v>0.092</v>
      </c>
      <c r="AB59" s="46">
        <f t="shared" si="67"/>
        <v>0.092</v>
      </c>
    </row>
    <row r="60" spans="1:28" ht="10.5" customHeight="1" hidden="1">
      <c r="A60" s="119"/>
      <c r="B60" s="133"/>
      <c r="C60" s="147" t="s">
        <v>45</v>
      </c>
      <c r="D60" s="70">
        <f aca="true" t="shared" si="68" ref="D60:P60">NPV(D59,E42:N42)</f>
        <v>1342.9604123242682</v>
      </c>
      <c r="E60" s="70">
        <f t="shared" si="68"/>
        <v>1454.1915993811704</v>
      </c>
      <c r="F60" s="70">
        <f t="shared" si="68"/>
        <v>2152.1496322297694</v>
      </c>
      <c r="G60" s="70">
        <f t="shared" si="68"/>
        <v>2374.88325221455</v>
      </c>
      <c r="H60" s="70">
        <f t="shared" si="68"/>
        <v>2362.743082314323</v>
      </c>
      <c r="I60" s="70">
        <f t="shared" si="68"/>
        <v>2386.1934282011966</v>
      </c>
      <c r="J60" s="70">
        <f t="shared" si="68"/>
        <v>2593.5827655559406</v>
      </c>
      <c r="K60" s="70">
        <f t="shared" si="68"/>
        <v>2691.7091127865274</v>
      </c>
      <c r="L60" s="70">
        <f t="shared" si="68"/>
        <v>2780.0534186183145</v>
      </c>
      <c r="M60" s="70">
        <f t="shared" si="68"/>
        <v>2835.599541935737</v>
      </c>
      <c r="N60" s="70">
        <f t="shared" si="68"/>
        <v>2892.3115327744495</v>
      </c>
      <c r="O60" s="70">
        <f t="shared" si="68"/>
        <v>2950.157763429939</v>
      </c>
      <c r="P60" s="70">
        <f t="shared" si="68"/>
        <v>3009.160918698539</v>
      </c>
      <c r="Q60" s="94"/>
      <c r="R60" s="94"/>
      <c r="S60" s="94"/>
      <c r="T60" s="41"/>
      <c r="U60" s="41"/>
      <c r="V60" s="41"/>
      <c r="W60" s="41"/>
      <c r="X60" s="41"/>
      <c r="Y60" s="41"/>
      <c r="Z60" s="41"/>
      <c r="AA60" s="41"/>
      <c r="AB60" s="41"/>
    </row>
    <row r="61" spans="1:28" ht="10.5" customHeight="1" hidden="1">
      <c r="A61" s="119"/>
      <c r="B61" s="133"/>
      <c r="C61" s="147" t="s">
        <v>46</v>
      </c>
      <c r="D61" s="70">
        <f aca="true" t="shared" si="69" ref="D61:P61">O42/(D59-$O$4)/(1+D59)^10</f>
        <v>2426.094848931516</v>
      </c>
      <c r="E61" s="70">
        <f t="shared" si="69"/>
        <v>2474.616745910152</v>
      </c>
      <c r="F61" s="70">
        <f t="shared" si="69"/>
        <v>2524.1090808283525</v>
      </c>
      <c r="G61" s="70">
        <f t="shared" si="69"/>
        <v>2574.5912624449243</v>
      </c>
      <c r="H61" s="70">
        <f t="shared" si="69"/>
        <v>2626.0830876938194</v>
      </c>
      <c r="I61" s="70">
        <f t="shared" si="69"/>
        <v>2678.604749447699</v>
      </c>
      <c r="J61" s="70">
        <f t="shared" si="69"/>
        <v>2732.1768444366535</v>
      </c>
      <c r="K61" s="70">
        <f t="shared" si="69"/>
        <v>2786.820381325382</v>
      </c>
      <c r="L61" s="70">
        <f t="shared" si="69"/>
        <v>2842.5567889518916</v>
      </c>
      <c r="M61" s="70">
        <f t="shared" si="69"/>
        <v>2899.4079247309282</v>
      </c>
      <c r="N61" s="70">
        <f t="shared" si="69"/>
        <v>2957.39608322554</v>
      </c>
      <c r="O61" s="70">
        <f t="shared" si="69"/>
        <v>3016.5440048900646</v>
      </c>
      <c r="P61" s="70">
        <f t="shared" si="69"/>
        <v>3076.8748849878466</v>
      </c>
      <c r="Q61" s="94"/>
      <c r="R61" s="94"/>
      <c r="S61" s="94"/>
      <c r="T61" s="41"/>
      <c r="U61" s="41"/>
      <c r="V61" s="41"/>
      <c r="W61" s="41"/>
      <c r="X61" s="41"/>
      <c r="Y61" s="41"/>
      <c r="Z61" s="41"/>
      <c r="AA61" s="41"/>
      <c r="AB61" s="41"/>
    </row>
    <row r="62" spans="1:28" s="104" customFormat="1" ht="10.5" customHeight="1" thickBot="1">
      <c r="A62" s="167">
        <v>36</v>
      </c>
      <c r="C62" s="168" t="s">
        <v>47</v>
      </c>
      <c r="D62" s="163">
        <f aca="true" t="shared" si="70" ref="D62:P62">D60+D61</f>
        <v>3769.055261255784</v>
      </c>
      <c r="E62" s="163">
        <f t="shared" si="70"/>
        <v>3928.8083452913224</v>
      </c>
      <c r="F62" s="163">
        <f t="shared" si="70"/>
        <v>4676.258713058121</v>
      </c>
      <c r="G62" s="163">
        <f t="shared" si="70"/>
        <v>4949.474514659474</v>
      </c>
      <c r="H62" s="163">
        <f t="shared" si="70"/>
        <v>4988.826170008142</v>
      </c>
      <c r="I62" s="163">
        <f t="shared" si="70"/>
        <v>5064.798177648896</v>
      </c>
      <c r="J62" s="163">
        <f t="shared" si="70"/>
        <v>5325.759609992594</v>
      </c>
      <c r="K62" s="163">
        <f t="shared" si="70"/>
        <v>5478.52949411191</v>
      </c>
      <c r="L62" s="163">
        <f t="shared" si="70"/>
        <v>5622.610207570206</v>
      </c>
      <c r="M62" s="163">
        <f t="shared" si="70"/>
        <v>5735.007466666665</v>
      </c>
      <c r="N62" s="163">
        <f t="shared" si="70"/>
        <v>5849.70761599999</v>
      </c>
      <c r="O62" s="163">
        <f t="shared" si="70"/>
        <v>5966.701768320004</v>
      </c>
      <c r="P62" s="163">
        <f t="shared" si="70"/>
        <v>6086.035803686385</v>
      </c>
      <c r="Q62" s="105"/>
      <c r="R62" s="105"/>
      <c r="S62" s="105"/>
      <c r="T62" s="106"/>
      <c r="U62" s="106"/>
      <c r="V62" s="106"/>
      <c r="W62" s="106"/>
      <c r="X62" s="106"/>
      <c r="Y62" s="106"/>
      <c r="Z62" s="106"/>
      <c r="AA62" s="106"/>
      <c r="AB62" s="106"/>
    </row>
    <row r="63" spans="1:28" ht="10.5" customHeight="1">
      <c r="A63" s="119">
        <v>37</v>
      </c>
      <c r="B63" s="133"/>
      <c r="C63" s="147" t="s">
        <v>48</v>
      </c>
      <c r="D63" s="70"/>
      <c r="E63" s="70">
        <f aca="true" t="shared" si="71" ref="E63:N63">E40+E31+E29-E37</f>
        <v>273.9999999999998</v>
      </c>
      <c r="F63" s="70">
        <f t="shared" si="71"/>
        <v>-287.0000000000002</v>
      </c>
      <c r="G63" s="70">
        <f t="shared" si="71"/>
        <v>252.9999999999998</v>
      </c>
      <c r="H63" s="70">
        <f t="shared" si="71"/>
        <v>494</v>
      </c>
      <c r="I63" s="70">
        <f t="shared" si="71"/>
        <v>533</v>
      </c>
      <c r="J63" s="65">
        <f t="shared" si="71"/>
        <v>372.99999999999994</v>
      </c>
      <c r="K63" s="65">
        <f t="shared" si="71"/>
        <v>510</v>
      </c>
      <c r="L63" s="65">
        <f t="shared" si="71"/>
        <v>542.9200000000003</v>
      </c>
      <c r="M63" s="65">
        <f t="shared" si="71"/>
        <v>591.5183999999992</v>
      </c>
      <c r="N63" s="65">
        <f t="shared" si="71"/>
        <v>603.2887680000013</v>
      </c>
      <c r="O63" s="65">
        <f aca="true" t="shared" si="72" ref="O63:AB63">O40+O31+O29-O37</f>
        <v>615.3545433599991</v>
      </c>
      <c r="P63" s="65">
        <f t="shared" si="72"/>
        <v>627.6616342272</v>
      </c>
      <c r="Q63" s="65">
        <f t="shared" si="72"/>
        <v>640.2148669117437</v>
      </c>
      <c r="R63" s="65">
        <f t="shared" si="72"/>
        <v>653.0191642499794</v>
      </c>
      <c r="S63" s="65">
        <f t="shared" si="72"/>
        <v>666.0795475349785</v>
      </c>
      <c r="T63" s="4">
        <f t="shared" si="72"/>
        <v>679.4011384856785</v>
      </c>
      <c r="U63" s="4">
        <f t="shared" si="72"/>
        <v>692.9891612553922</v>
      </c>
      <c r="V63" s="4">
        <f t="shared" si="72"/>
        <v>706.8489444804993</v>
      </c>
      <c r="W63" s="4">
        <f t="shared" si="72"/>
        <v>720.9859233701096</v>
      </c>
      <c r="X63" s="4">
        <f t="shared" si="72"/>
        <v>735.4056418375116</v>
      </c>
      <c r="Y63" s="4">
        <f t="shared" si="72"/>
        <v>750.1137546742608</v>
      </c>
      <c r="Z63" s="4">
        <f t="shared" si="72"/>
        <v>765.116029767748</v>
      </c>
      <c r="AA63" s="4">
        <f t="shared" si="72"/>
        <v>780.4183503630998</v>
      </c>
      <c r="AB63" s="4">
        <f t="shared" si="72"/>
        <v>796.0267173703623</v>
      </c>
    </row>
    <row r="64" spans="1:28" ht="10.5" customHeight="1" hidden="1">
      <c r="A64" s="119"/>
      <c r="B64" s="133"/>
      <c r="C64" s="147" t="s">
        <v>49</v>
      </c>
      <c r="D64" s="70">
        <f>NPV(D59,E63:N63)</f>
        <v>2177.1997824555165</v>
      </c>
      <c r="E64" s="70">
        <f>NPV(E59,F63:O63)</f>
        <v>2358.712950041975</v>
      </c>
      <c r="F64" s="70">
        <f>NPV(F59,G63:P63)</f>
        <v>3123.0295447984004</v>
      </c>
      <c r="G64" s="70">
        <f>NPV(G59,H63:Q63)</f>
        <v>3422.869566339466</v>
      </c>
      <c r="H64" s="70">
        <f>NPV(H59,I63:R63)</f>
        <v>3514.6052959307035</v>
      </c>
      <c r="I64" s="70">
        <f>NPV(I59,J63:S63)</f>
        <v>3581.1973472340956</v>
      </c>
      <c r="J64" s="70">
        <f>NPV(J59,K63:T63)</f>
        <v>3819.440834538954</v>
      </c>
      <c r="K64" s="70">
        <f>NPV(K59,L63:U63)</f>
        <v>3948.2381893030465</v>
      </c>
      <c r="L64" s="70">
        <f>NPV(L59,M63:V63)</f>
        <v>4061.7130766651653</v>
      </c>
      <c r="M64" s="70">
        <f>NPV(M59,N63:W63)</f>
        <v>4142.892393143524</v>
      </c>
      <c r="N64" s="70">
        <f>NPV(N59,O63:X63)</f>
        <v>4225.750241006393</v>
      </c>
      <c r="O64" s="70">
        <f>NPV(O59,P63:Y63)</f>
        <v>4310.265245826522</v>
      </c>
      <c r="P64" s="70">
        <f>NPV(P59,Q63:Z63)</f>
        <v>4396.470550743053</v>
      </c>
      <c r="Q64" s="70">
        <f>NPV(Q59,R63:AA63)</f>
        <v>4484.399961757914</v>
      </c>
      <c r="R64" s="70">
        <f>NPV(R59,S63:AB63)</f>
        <v>4574.087960993071</v>
      </c>
      <c r="S64" s="70">
        <f>NPV(S59,T63:AC63)</f>
        <v>4328.824505869454</v>
      </c>
      <c r="T64" s="2">
        <f>NPV(T59,U63:AD63)</f>
        <v>4047.6752219237665</v>
      </c>
      <c r="U64" s="2">
        <f>NPV(U59,V63:AE63)</f>
        <v>3727.0721810853606</v>
      </c>
      <c r="V64" s="2">
        <f>NPV(V59,W63:AF63)</f>
        <v>3363.113877264714</v>
      </c>
      <c r="W64" s="2">
        <f>NPV(W59,X63:AG63)</f>
        <v>2951.5344306029588</v>
      </c>
      <c r="X64" s="2">
        <f>NPV(X59,Y63:AH63)</f>
        <v>2487.66995638092</v>
      </c>
      <c r="Y64" s="2">
        <f>NPV(Y59,Z63:AI63)</f>
        <v>1966.4218376937038</v>
      </c>
      <c r="Z64" s="2">
        <f>NPV(Z59,AA63:AJ63)</f>
        <v>1382.2166169937768</v>
      </c>
      <c r="AA64" s="2">
        <f>NPV(AA59,AB63:AK63)</f>
        <v>728.9621953941047</v>
      </c>
      <c r="AB64" s="2">
        <f>NPV(AB59,AC63:AL63)</f>
        <v>0</v>
      </c>
    </row>
    <row r="65" spans="1:28" ht="10.5" customHeight="1" hidden="1">
      <c r="A65" s="119"/>
      <c r="B65" s="133"/>
      <c r="C65" s="147" t="s">
        <v>50</v>
      </c>
      <c r="D65" s="70">
        <f>O63/(D59-$O$4)/(1+D59)^10</f>
        <v>3544.594272229875</v>
      </c>
      <c r="E65" s="70">
        <f>P63/(E59-$O$4)/(1+E59)^10</f>
        <v>3615.486157674479</v>
      </c>
      <c r="F65" s="70">
        <f>Q63/(F59-$O$4)/(1+F59)^10</f>
        <v>3687.795880827966</v>
      </c>
      <c r="G65" s="70">
        <f>R63/(G59-$O$4)/(1+G59)^10</f>
        <v>3761.55179844453</v>
      </c>
      <c r="H65" s="70">
        <f>S63/(H59-$O$4)/(1+H59)^10</f>
        <v>3836.782834413418</v>
      </c>
      <c r="I65" s="70">
        <f>T63/(I59-$O$4)/(1+I59)^10</f>
        <v>3913.518491101689</v>
      </c>
      <c r="J65" s="70">
        <f>U63/(J59-$O$4)/(1+J59)^10</f>
        <v>3991.788860923724</v>
      </c>
      <c r="K65" s="70">
        <f>V63/(K59-$O$4)/(1+K59)^10</f>
        <v>4071.624638142194</v>
      </c>
      <c r="L65" s="70">
        <f>W63/(L59-$O$4)/(1+L59)^10</f>
        <v>4153.057130905039</v>
      </c>
      <c r="M65" s="70">
        <f>X63/(M59-$O$4)/(1+M59)^10</f>
        <v>4236.118273523139</v>
      </c>
      <c r="N65" s="70">
        <f>Y63/(N59-$O$4)/(1+N59)^10</f>
        <v>4320.840638993596</v>
      </c>
      <c r="O65" s="70">
        <f>Z63/(O59-$O$4)/(1+O59)^10</f>
        <v>4407.25745177348</v>
      </c>
      <c r="P65" s="70">
        <f>AA63/(P59-$O$4)/(1+P59)^10</f>
        <v>4495.40260080893</v>
      </c>
      <c r="Q65" s="70">
        <f>AB63/(Q59-$O$4)/(1+Q59)^10</f>
        <v>4585.310652825112</v>
      </c>
      <c r="R65" s="70">
        <f>AC63/(R59-$O$4)/(1+R59)^10</f>
        <v>0</v>
      </c>
      <c r="S65" s="70">
        <f>AD63/(S59-$O$4)/(1+S59)^10</f>
        <v>0</v>
      </c>
      <c r="T65" s="2">
        <f>AE63/(T59-$O$4)/(1+T59)^10</f>
        <v>0</v>
      </c>
      <c r="U65" s="2">
        <f>AF63/(U59-$O$4)/(1+U59)^10</f>
        <v>0</v>
      </c>
      <c r="V65" s="2">
        <f>AG63/(V59-$O$4)/(1+V59)^10</f>
        <v>0</v>
      </c>
      <c r="W65" s="2">
        <f>AH63/(W59-$O$4)/(1+W59)^10</f>
        <v>0</v>
      </c>
      <c r="X65" s="2">
        <f>AI63/(X59-$O$4)/(1+X59)^10</f>
        <v>0</v>
      </c>
      <c r="Y65" s="2">
        <f>AJ63/(Y59-$O$4)/(1+Y59)^10</f>
        <v>0</v>
      </c>
      <c r="Z65" s="2">
        <f>AK63/(Z59-$O$4)/(1+Z59)^10</f>
        <v>0</v>
      </c>
      <c r="AA65" s="2">
        <f>AL63/(AA59-$O$4)/(1+AA59)^10</f>
        <v>0</v>
      </c>
      <c r="AB65" s="2">
        <f>AM63/(AB59-$O$4)/(1+AB59)^10</f>
        <v>0</v>
      </c>
    </row>
    <row r="66" spans="1:28" s="7" customFormat="1" ht="10.5" customHeight="1">
      <c r="A66" s="122">
        <v>38</v>
      </c>
      <c r="B66" s="36"/>
      <c r="C66" s="171" t="s">
        <v>51</v>
      </c>
      <c r="D66" s="103">
        <f aca="true" t="shared" si="73" ref="D66:M66">D64+D65</f>
        <v>5721.7940546853915</v>
      </c>
      <c r="E66" s="103">
        <f t="shared" si="73"/>
        <v>5974.199107716454</v>
      </c>
      <c r="F66" s="103">
        <f t="shared" si="73"/>
        <v>6810.825425626366</v>
      </c>
      <c r="G66" s="103">
        <f t="shared" si="73"/>
        <v>7184.421364783996</v>
      </c>
      <c r="H66" s="103">
        <f t="shared" si="73"/>
        <v>7351.388130344121</v>
      </c>
      <c r="I66" s="103">
        <f t="shared" si="73"/>
        <v>7494.715838335785</v>
      </c>
      <c r="J66" s="103">
        <f t="shared" si="73"/>
        <v>7811.229695462678</v>
      </c>
      <c r="K66" s="103">
        <f t="shared" si="73"/>
        <v>8019.86282744524</v>
      </c>
      <c r="L66" s="103">
        <f t="shared" si="73"/>
        <v>8214.770207570204</v>
      </c>
      <c r="M66" s="103">
        <f t="shared" si="73"/>
        <v>8379.010666666662</v>
      </c>
      <c r="N66" s="103">
        <f aca="true" t="shared" si="74" ref="N66:AB66">N64+N65</f>
        <v>8546.590879999989</v>
      </c>
      <c r="O66" s="103">
        <f t="shared" si="74"/>
        <v>8717.522697600001</v>
      </c>
      <c r="P66" s="103">
        <f t="shared" si="74"/>
        <v>8891.873151551983</v>
      </c>
      <c r="Q66" s="67">
        <f t="shared" si="74"/>
        <v>9069.710614583026</v>
      </c>
      <c r="R66" s="67">
        <f t="shared" si="74"/>
        <v>4574.087960993071</v>
      </c>
      <c r="S66" s="67">
        <f t="shared" si="74"/>
        <v>4328.824505869454</v>
      </c>
      <c r="T66" s="48">
        <f t="shared" si="74"/>
        <v>4047.6752219237665</v>
      </c>
      <c r="U66" s="48">
        <f t="shared" si="74"/>
        <v>3727.0721810853606</v>
      </c>
      <c r="V66" s="48">
        <f t="shared" si="74"/>
        <v>3363.113877264714</v>
      </c>
      <c r="W66" s="48">
        <f t="shared" si="74"/>
        <v>2951.5344306029588</v>
      </c>
      <c r="X66" s="48">
        <f t="shared" si="74"/>
        <v>2487.66995638092</v>
      </c>
      <c r="Y66" s="48">
        <f t="shared" si="74"/>
        <v>1966.4218376937038</v>
      </c>
      <c r="Z66" s="48">
        <f t="shared" si="74"/>
        <v>1382.2166169937768</v>
      </c>
      <c r="AA66" s="48">
        <f t="shared" si="74"/>
        <v>728.9621953941047</v>
      </c>
      <c r="AB66" s="48">
        <f t="shared" si="74"/>
        <v>0</v>
      </c>
    </row>
    <row r="67" spans="1:28" ht="10.5" customHeight="1" hidden="1">
      <c r="A67" s="119"/>
      <c r="B67" s="133"/>
      <c r="C67" s="149" t="s">
        <v>78</v>
      </c>
      <c r="D67" s="175">
        <v>0.07</v>
      </c>
      <c r="E67" s="175">
        <f>D67</f>
        <v>0.07</v>
      </c>
      <c r="F67" s="175">
        <f aca="true" t="shared" si="75" ref="F67:AB67">E67</f>
        <v>0.07</v>
      </c>
      <c r="G67" s="175">
        <f t="shared" si="75"/>
        <v>0.07</v>
      </c>
      <c r="H67" s="175">
        <f t="shared" si="75"/>
        <v>0.07</v>
      </c>
      <c r="I67" s="175">
        <f t="shared" si="75"/>
        <v>0.07</v>
      </c>
      <c r="J67" s="175">
        <f t="shared" si="75"/>
        <v>0.07</v>
      </c>
      <c r="K67" s="175">
        <f t="shared" si="75"/>
        <v>0.07</v>
      </c>
      <c r="L67" s="175">
        <f t="shared" si="75"/>
        <v>0.07</v>
      </c>
      <c r="M67" s="175">
        <f t="shared" si="75"/>
        <v>0.07</v>
      </c>
      <c r="N67" s="175">
        <f t="shared" si="75"/>
        <v>0.07</v>
      </c>
      <c r="O67" s="175">
        <f t="shared" si="75"/>
        <v>0.07</v>
      </c>
      <c r="P67" s="175">
        <f t="shared" si="75"/>
        <v>0.07</v>
      </c>
      <c r="Q67" s="175">
        <f t="shared" si="75"/>
        <v>0.07</v>
      </c>
      <c r="R67" s="175">
        <f t="shared" si="75"/>
        <v>0.07</v>
      </c>
      <c r="S67" s="175">
        <f t="shared" si="75"/>
        <v>0.07</v>
      </c>
      <c r="T67" s="175">
        <f t="shared" si="75"/>
        <v>0.07</v>
      </c>
      <c r="U67" s="175">
        <f t="shared" si="75"/>
        <v>0.07</v>
      </c>
      <c r="V67" s="175">
        <f t="shared" si="75"/>
        <v>0.07</v>
      </c>
      <c r="W67" s="175">
        <f t="shared" si="75"/>
        <v>0.07</v>
      </c>
      <c r="X67" s="175">
        <f t="shared" si="75"/>
        <v>0.07</v>
      </c>
      <c r="Y67" s="175">
        <f t="shared" si="75"/>
        <v>0.07</v>
      </c>
      <c r="Z67" s="175">
        <f t="shared" si="75"/>
        <v>0.07</v>
      </c>
      <c r="AA67" s="175">
        <f t="shared" si="75"/>
        <v>0.07</v>
      </c>
      <c r="AB67" s="175">
        <f t="shared" si="75"/>
        <v>0.07</v>
      </c>
    </row>
    <row r="68" spans="1:28" ht="10.5" customHeight="1" hidden="1">
      <c r="A68" s="119"/>
      <c r="B68" s="133"/>
      <c r="C68" s="149" t="s">
        <v>79</v>
      </c>
      <c r="D68" s="175"/>
      <c r="E68" s="180">
        <f aca="true" t="shared" si="76" ref="E68:AB68">E29-E37</f>
        <v>126.00000000000001</v>
      </c>
      <c r="F68" s="180">
        <f t="shared" si="76"/>
        <v>-374</v>
      </c>
      <c r="G68" s="180">
        <f t="shared" si="76"/>
        <v>161.00000000000003</v>
      </c>
      <c r="H68" s="180">
        <f t="shared" si="76"/>
        <v>461</v>
      </c>
      <c r="I68" s="180">
        <f t="shared" si="76"/>
        <v>340</v>
      </c>
      <c r="J68" s="180">
        <f t="shared" si="76"/>
        <v>226</v>
      </c>
      <c r="K68" s="180">
        <f t="shared" si="76"/>
        <v>319</v>
      </c>
      <c r="L68" s="180">
        <f t="shared" si="76"/>
        <v>305</v>
      </c>
      <c r="M68" s="180">
        <f t="shared" si="76"/>
        <v>391</v>
      </c>
      <c r="N68" s="180">
        <f t="shared" si="76"/>
        <v>50</v>
      </c>
      <c r="O68" s="180">
        <f t="shared" si="76"/>
        <v>50.999999999999915</v>
      </c>
      <c r="P68" s="180">
        <f t="shared" si="76"/>
        <v>52.020000000000024</v>
      </c>
      <c r="Q68" s="180">
        <f t="shared" si="76"/>
        <v>53.06040000000003</v>
      </c>
      <c r="R68" s="180">
        <f t="shared" si="76"/>
        <v>54.121608000000094</v>
      </c>
      <c r="S68" s="180">
        <f t="shared" si="76"/>
        <v>55.20404016000006</v>
      </c>
      <c r="T68" s="180">
        <f t="shared" si="76"/>
        <v>56.3081209631999</v>
      </c>
      <c r="U68" s="180">
        <f t="shared" si="76"/>
        <v>57.434283382463946</v>
      </c>
      <c r="V68" s="180">
        <f t="shared" si="76"/>
        <v>58.582969050113235</v>
      </c>
      <c r="W68" s="180">
        <f t="shared" si="76"/>
        <v>59.754628431115435</v>
      </c>
      <c r="X68" s="180">
        <f t="shared" si="76"/>
        <v>60.94972099973782</v>
      </c>
      <c r="Y68" s="180">
        <f t="shared" si="76"/>
        <v>62.16871541973265</v>
      </c>
      <c r="Z68" s="180">
        <f t="shared" si="76"/>
        <v>63.4120897281272</v>
      </c>
      <c r="AA68" s="180">
        <f t="shared" si="76"/>
        <v>64.68033152268971</v>
      </c>
      <c r="AB68" s="180">
        <f t="shared" si="76"/>
        <v>65.97393815314359</v>
      </c>
    </row>
    <row r="69" spans="1:28" ht="10.5" customHeight="1" hidden="1">
      <c r="A69" s="119"/>
      <c r="B69" s="133"/>
      <c r="C69" s="149" t="s">
        <v>80</v>
      </c>
      <c r="D69" s="175"/>
      <c r="E69" s="181">
        <f>1/(1+D74)</f>
        <v>0.9345794392523364</v>
      </c>
      <c r="F69" s="181">
        <f>E69/(1+E74)</f>
        <v>0.8734387282732116</v>
      </c>
      <c r="G69" s="181">
        <f aca="true" t="shared" si="77" ref="G69:O69">F69/(1+F74)</f>
        <v>0.8162978768908519</v>
      </c>
      <c r="H69" s="181">
        <f t="shared" si="77"/>
        <v>0.7628952120475251</v>
      </c>
      <c r="I69" s="181">
        <f t="shared" si="77"/>
        <v>0.7129861794836683</v>
      </c>
      <c r="J69" s="181">
        <f t="shared" si="77"/>
        <v>0.6663422238165123</v>
      </c>
      <c r="K69" s="181">
        <f t="shared" si="77"/>
        <v>0.6227497418845909</v>
      </c>
      <c r="L69" s="181">
        <f t="shared" si="77"/>
        <v>0.5820091045650382</v>
      </c>
      <c r="M69" s="181">
        <f t="shared" si="77"/>
        <v>0.5439337425841478</v>
      </c>
      <c r="N69" s="181">
        <f t="shared" si="77"/>
        <v>0.5083492921347176</v>
      </c>
      <c r="O69" s="181">
        <f t="shared" si="77"/>
        <v>0.4750927963875865</v>
      </c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</row>
    <row r="70" spans="1:28" ht="10.5" customHeight="1" hidden="1">
      <c r="A70" s="119"/>
      <c r="B70" s="133"/>
      <c r="C70" s="149" t="s">
        <v>81</v>
      </c>
      <c r="D70" s="175"/>
      <c r="E70" s="40">
        <f>E68*E69</f>
        <v>117.7570093457944</v>
      </c>
      <c r="F70" s="40">
        <f aca="true" t="shared" si="78" ref="F70:O70">F68*F69</f>
        <v>-326.66608437418114</v>
      </c>
      <c r="G70" s="40">
        <f t="shared" si="78"/>
        <v>131.4239581794272</v>
      </c>
      <c r="H70" s="40">
        <f t="shared" si="78"/>
        <v>351.69469275390907</v>
      </c>
      <c r="I70" s="40">
        <f t="shared" si="78"/>
        <v>242.41530102444722</v>
      </c>
      <c r="J70" s="40">
        <f t="shared" si="78"/>
        <v>150.5933425825318</v>
      </c>
      <c r="K70" s="40">
        <f t="shared" si="78"/>
        <v>198.65716766118447</v>
      </c>
      <c r="L70" s="40">
        <f t="shared" si="78"/>
        <v>177.51277689233663</v>
      </c>
      <c r="M70" s="40">
        <f t="shared" si="78"/>
        <v>212.6780933504018</v>
      </c>
      <c r="N70" s="40">
        <f t="shared" si="78"/>
        <v>25.41746460673588</v>
      </c>
      <c r="O70" s="40">
        <f t="shared" si="78"/>
        <v>24.22973261576687</v>
      </c>
      <c r="P70" s="40">
        <f>P68/(O74-O4)*O69</f>
        <v>494.28654536164515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0.5" customHeight="1" hidden="1">
      <c r="A71" s="119"/>
      <c r="B71" s="13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0.5" customHeight="1" hidden="1">
      <c r="A72" s="119"/>
      <c r="B72" s="133"/>
      <c r="C72" s="149" t="s">
        <v>82</v>
      </c>
      <c r="D72" s="182">
        <f aca="true" t="shared" si="79" ref="D72:P72">D15</f>
        <v>1800</v>
      </c>
      <c r="E72" s="182">
        <f t="shared" si="79"/>
        <v>1800</v>
      </c>
      <c r="F72" s="182">
        <f t="shared" si="79"/>
        <v>2300</v>
      </c>
      <c r="G72" s="182">
        <f t="shared" si="79"/>
        <v>2300</v>
      </c>
      <c r="H72" s="182">
        <f t="shared" si="79"/>
        <v>2000</v>
      </c>
      <c r="I72" s="182">
        <f t="shared" si="79"/>
        <v>1800</v>
      </c>
      <c r="J72" s="182">
        <f t="shared" si="79"/>
        <v>1700</v>
      </c>
      <c r="K72" s="182">
        <f t="shared" si="79"/>
        <v>1500</v>
      </c>
      <c r="L72" s="182">
        <f t="shared" si="79"/>
        <v>1300</v>
      </c>
      <c r="M72" s="182">
        <f t="shared" si="79"/>
        <v>1000</v>
      </c>
      <c r="N72" s="182">
        <f t="shared" si="79"/>
        <v>1020</v>
      </c>
      <c r="O72" s="182">
        <f t="shared" si="79"/>
        <v>1040.4</v>
      </c>
      <c r="P72" s="182">
        <f t="shared" si="79"/>
        <v>1061.208</v>
      </c>
      <c r="Q72" s="175"/>
      <c r="R72" s="175"/>
      <c r="S72" s="175"/>
      <c r="T72" s="179"/>
      <c r="U72" s="179"/>
      <c r="V72" s="179"/>
      <c r="W72" s="179"/>
      <c r="X72" s="179"/>
      <c r="Y72" s="179"/>
      <c r="Z72" s="179"/>
      <c r="AA72" s="179"/>
      <c r="AB72" s="179"/>
    </row>
    <row r="73" spans="1:28" ht="10.5" customHeight="1" hidden="1">
      <c r="A73" s="119">
        <v>48</v>
      </c>
      <c r="B73" s="133"/>
      <c r="C73" s="149" t="s">
        <v>53</v>
      </c>
      <c r="D73" s="140">
        <f>SUM(E70:P70)</f>
        <v>1799.999999999999</v>
      </c>
      <c r="E73" s="140">
        <f>D73*(1+D74)-E68</f>
        <v>1799.999999999999</v>
      </c>
      <c r="F73" s="140">
        <f aca="true" t="shared" si="80" ref="F73:P73">E73*(1+E74)-F68</f>
        <v>2299.999999999999</v>
      </c>
      <c r="G73" s="140">
        <f t="shared" si="80"/>
        <v>2299.999999999999</v>
      </c>
      <c r="H73" s="140">
        <f t="shared" si="80"/>
        <v>1999.999999999999</v>
      </c>
      <c r="I73" s="140">
        <f t="shared" si="80"/>
        <v>1799.999999999999</v>
      </c>
      <c r="J73" s="140">
        <f t="shared" si="80"/>
        <v>1699.999999999999</v>
      </c>
      <c r="K73" s="140">
        <f t="shared" si="80"/>
        <v>1499.999999999999</v>
      </c>
      <c r="L73" s="140">
        <f t="shared" si="80"/>
        <v>1299.999999999999</v>
      </c>
      <c r="M73" s="140">
        <f t="shared" si="80"/>
        <v>999.9999999999991</v>
      </c>
      <c r="N73" s="140">
        <f t="shared" si="80"/>
        <v>1019.9999999999991</v>
      </c>
      <c r="O73" s="140">
        <f t="shared" si="80"/>
        <v>1040.3999999999992</v>
      </c>
      <c r="P73" s="70">
        <f t="shared" si="80"/>
        <v>1061.2079999999992</v>
      </c>
      <c r="Q73" s="70">
        <f aca="true" t="shared" si="81" ref="Q73:AB73">Q15</f>
        <v>1082.43216</v>
      </c>
      <c r="R73" s="70">
        <f t="shared" si="81"/>
        <v>1104.0808032</v>
      </c>
      <c r="S73" s="70">
        <f t="shared" si="81"/>
        <v>1126.162419264</v>
      </c>
      <c r="T73" s="2">
        <f t="shared" si="81"/>
        <v>1148.68566764928</v>
      </c>
      <c r="U73" s="2">
        <f t="shared" si="81"/>
        <v>1171.6593810022657</v>
      </c>
      <c r="V73" s="2">
        <f t="shared" si="81"/>
        <v>1195.092568622311</v>
      </c>
      <c r="W73" s="2">
        <f t="shared" si="81"/>
        <v>1218.9944199947574</v>
      </c>
      <c r="X73" s="2">
        <f t="shared" si="81"/>
        <v>1243.3743083946526</v>
      </c>
      <c r="Y73" s="2">
        <f t="shared" si="81"/>
        <v>1268.2417945625457</v>
      </c>
      <c r="Z73" s="2">
        <f t="shared" si="81"/>
        <v>1293.6066304537967</v>
      </c>
      <c r="AA73" s="2">
        <f t="shared" si="81"/>
        <v>1319.4787630628728</v>
      </c>
      <c r="AB73" s="2">
        <f t="shared" si="81"/>
        <v>1345.8683383241303</v>
      </c>
    </row>
    <row r="74" spans="1:28" ht="10.5" customHeight="1">
      <c r="A74" s="119">
        <v>39</v>
      </c>
      <c r="B74" s="133"/>
      <c r="C74" s="149" t="s">
        <v>54</v>
      </c>
      <c r="D74" s="89">
        <f>D67</f>
        <v>0.07</v>
      </c>
      <c r="E74" s="89">
        <f aca="true" t="shared" si="82" ref="E74:R74">E67</f>
        <v>0.07</v>
      </c>
      <c r="F74" s="89">
        <f t="shared" si="82"/>
        <v>0.07</v>
      </c>
      <c r="G74" s="89">
        <f t="shared" si="82"/>
        <v>0.07</v>
      </c>
      <c r="H74" s="89">
        <f t="shared" si="82"/>
        <v>0.07</v>
      </c>
      <c r="I74" s="89">
        <f t="shared" si="82"/>
        <v>0.07</v>
      </c>
      <c r="J74" s="89">
        <f t="shared" si="82"/>
        <v>0.07</v>
      </c>
      <c r="K74" s="89">
        <f t="shared" si="82"/>
        <v>0.07</v>
      </c>
      <c r="L74" s="89">
        <f t="shared" si="82"/>
        <v>0.07</v>
      </c>
      <c r="M74" s="89">
        <f t="shared" si="82"/>
        <v>0.07</v>
      </c>
      <c r="N74" s="89">
        <f t="shared" si="82"/>
        <v>0.07</v>
      </c>
      <c r="O74" s="89">
        <f t="shared" si="82"/>
        <v>0.07</v>
      </c>
      <c r="P74" s="89">
        <f t="shared" si="82"/>
        <v>0.07</v>
      </c>
      <c r="Q74" s="89">
        <f t="shared" si="82"/>
        <v>0.07</v>
      </c>
      <c r="R74" s="89">
        <f t="shared" si="82"/>
        <v>0.07</v>
      </c>
      <c r="S74" s="98">
        <f aca="true" t="shared" si="83" ref="S74:AB74">R74</f>
        <v>0.07</v>
      </c>
      <c r="T74" s="8">
        <f t="shared" si="83"/>
        <v>0.07</v>
      </c>
      <c r="U74" s="8">
        <f t="shared" si="83"/>
        <v>0.07</v>
      </c>
      <c r="V74" s="8">
        <f t="shared" si="83"/>
        <v>0.07</v>
      </c>
      <c r="W74" s="8">
        <f t="shared" si="83"/>
        <v>0.07</v>
      </c>
      <c r="X74" s="8">
        <f t="shared" si="83"/>
        <v>0.07</v>
      </c>
      <c r="Y74" s="8">
        <f t="shared" si="83"/>
        <v>0.07</v>
      </c>
      <c r="Z74" s="8">
        <f t="shared" si="83"/>
        <v>0.07</v>
      </c>
      <c r="AA74" s="8">
        <f t="shared" si="83"/>
        <v>0.07</v>
      </c>
      <c r="AB74" s="8">
        <f t="shared" si="83"/>
        <v>0.07</v>
      </c>
    </row>
    <row r="75" spans="1:28" s="39" customFormat="1" ht="10.5" customHeight="1">
      <c r="A75" s="122">
        <v>40</v>
      </c>
      <c r="C75" s="151" t="s">
        <v>55</v>
      </c>
      <c r="D75" s="110">
        <f>(D74-D57)/D58</f>
        <v>0.2500000000000002</v>
      </c>
      <c r="E75" s="110">
        <f>(E74-E57)/E58</f>
        <v>0.2500000000000002</v>
      </c>
      <c r="F75" s="110">
        <f>(F74-F57)/F58</f>
        <v>0.2500000000000002</v>
      </c>
      <c r="G75" s="110">
        <f>(G74-G57)/G58</f>
        <v>0.2500000000000002</v>
      </c>
      <c r="H75" s="110">
        <f>(H74-H57)/H58</f>
        <v>0.2500000000000002</v>
      </c>
      <c r="I75" s="110">
        <f>(I74-I57)/I58</f>
        <v>0.2500000000000002</v>
      </c>
      <c r="J75" s="111">
        <f>(J74-J57)/J58</f>
        <v>0.2500000000000002</v>
      </c>
      <c r="K75" s="111">
        <f>(K74-K57)/K58</f>
        <v>0.2500000000000002</v>
      </c>
      <c r="L75" s="111">
        <f>(L74-L57)/L58</f>
        <v>0.2500000000000002</v>
      </c>
      <c r="M75" s="111">
        <f>(M74-M57)/M58</f>
        <v>0.2500000000000002</v>
      </c>
      <c r="N75" s="111">
        <f>(N74-N57)/N58</f>
        <v>0.2500000000000002</v>
      </c>
      <c r="O75" s="111">
        <f>(O74-O57)/O58</f>
        <v>0.2500000000000002</v>
      </c>
      <c r="P75" s="111">
        <f>(P74-P57)/P58</f>
        <v>0.2500000000000002</v>
      </c>
      <c r="Q75" s="112">
        <f>(Q74-Q57)/Q58</f>
        <v>0.2500000000000002</v>
      </c>
      <c r="R75" s="112">
        <f>(R74-R57)/R58</f>
        <v>0.2500000000000002</v>
      </c>
      <c r="S75" s="112">
        <f>(S74-S57)/S58</f>
        <v>0.2500000000000002</v>
      </c>
      <c r="T75" s="113">
        <f>(T74-T57)/T58</f>
        <v>0.2500000000000002</v>
      </c>
      <c r="U75" s="113">
        <f>(U74-U57)/U58</f>
        <v>0.2500000000000002</v>
      </c>
      <c r="V75" s="113">
        <f>(V74-V57)/V58</f>
        <v>0.2500000000000002</v>
      </c>
      <c r="W75" s="113">
        <f>(W74-W57)/W58</f>
        <v>0.2500000000000002</v>
      </c>
      <c r="X75" s="113">
        <f>(X74-X57)/X58</f>
        <v>0.2500000000000002</v>
      </c>
      <c r="Y75" s="113">
        <f>(Y74-Y57)/Y58</f>
        <v>0.2500000000000002</v>
      </c>
      <c r="Z75" s="113">
        <f>(Z74-Z57)/Z58</f>
        <v>0.2500000000000002</v>
      </c>
      <c r="AA75" s="113">
        <f>(AA74-AA57)/AA58</f>
        <v>0.2500000000000002</v>
      </c>
      <c r="AB75" s="113">
        <f>(AB74-AB57)/AB58</f>
        <v>0.2500000000000002</v>
      </c>
    </row>
    <row r="76" spans="1:28" ht="10.5" customHeight="1" hidden="1">
      <c r="A76" s="119"/>
      <c r="B76" s="133"/>
      <c r="C76" s="149"/>
      <c r="D76" s="95"/>
      <c r="E76" s="96"/>
      <c r="F76" s="96"/>
      <c r="G76" s="96"/>
      <c r="H76" s="96"/>
      <c r="I76" s="96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3"/>
      <c r="U76" s="3"/>
      <c r="V76" s="3"/>
      <c r="W76" s="3"/>
      <c r="X76" s="3"/>
      <c r="Y76" s="3"/>
      <c r="Z76" s="3"/>
      <c r="AA76" s="3"/>
      <c r="AB76" s="3"/>
    </row>
    <row r="77" spans="1:28" ht="10.5" customHeight="1" hidden="1">
      <c r="A77" s="119"/>
      <c r="B77" s="133"/>
      <c r="C77" s="147" t="s">
        <v>56</v>
      </c>
      <c r="D77" s="96"/>
      <c r="E77" s="96">
        <f>D73*D59*$H$3+$H$3*(D15*D67-D73*D74)</f>
        <v>49.67999999999999</v>
      </c>
      <c r="F77" s="96">
        <f>E73*E59*$H$3+$H$3*(E15*E67-E73*E74)</f>
        <v>49.67999999999999</v>
      </c>
      <c r="G77" s="96">
        <f>F73*F59*$H$3+$H$3*(F15*F67-F73*F74)</f>
        <v>63.48</v>
      </c>
      <c r="H77" s="96">
        <f>G73*G59*$H$3+$H$3*(G15*G67-G73*G74)</f>
        <v>63.48</v>
      </c>
      <c r="I77" s="96">
        <f>H73*H59*$H$3+$H$3*(H15*H67-H73*H74)</f>
        <v>55.19999999999999</v>
      </c>
      <c r="J77" s="96">
        <f>I73*I59*$H$3+$H$3*(I15*I67-I73*I74)</f>
        <v>49.67999999999999</v>
      </c>
      <c r="K77" s="96">
        <f>J73*J59*$H$3+$H$3*(J15*J67-J73*J74)</f>
        <v>46.919999999999995</v>
      </c>
      <c r="L77" s="96">
        <f>K73*K59*$H$3+$H$3*(K15*K67-K73*K74)</f>
        <v>41.39999999999999</v>
      </c>
      <c r="M77" s="96">
        <f>L73*L59*$H$3+$H$3*(L15*L67-L73*L74)</f>
        <v>35.879999999999995</v>
      </c>
      <c r="N77" s="96">
        <f>M73*M59*$H$3+$H$3*(M15*M67-M73*M74)</f>
        <v>27.59999999999999</v>
      </c>
      <c r="O77" s="96">
        <f>N73*N59*$H$3+$H$3*(N15*N67-N73*N74)</f>
        <v>28.151999999999994</v>
      </c>
      <c r="P77" s="96">
        <f>O73*O59*$H$3+$H$3*(O15*O67-O73*O74)</f>
        <v>28.71504</v>
      </c>
      <c r="Q77" s="96">
        <f>P77*(1+$O4)</f>
        <v>29.289340799999998</v>
      </c>
      <c r="R77" s="96">
        <f>Q77*(1+$O4)</f>
        <v>29.875127615999997</v>
      </c>
      <c r="S77" s="96">
        <f>R77*(1+$O4)</f>
        <v>30.47263016832</v>
      </c>
      <c r="T77" s="96">
        <f>S77*(1+$O4)</f>
        <v>31.082082771686398</v>
      </c>
      <c r="U77" s="96">
        <f>T77*(1+$O4)</f>
        <v>31.703724427120125</v>
      </c>
      <c r="V77" s="96">
        <f>U77*(1+$O4)</f>
        <v>32.33779891566253</v>
      </c>
      <c r="W77" s="96">
        <f>V77*(1+$O4)</f>
        <v>32.98455489397578</v>
      </c>
      <c r="X77" s="96">
        <f>W77*(1+$O4)</f>
        <v>33.6442459918553</v>
      </c>
      <c r="Y77" s="96">
        <f>X77*(1+$O4)</f>
        <v>34.31713091169241</v>
      </c>
      <c r="Z77" s="96">
        <f>Y77*(1+$O4)</f>
        <v>35.00347352992626</v>
      </c>
      <c r="AA77" s="96">
        <f>Z77*(1+$O4)</f>
        <v>35.70354300052479</v>
      </c>
      <c r="AB77" s="96">
        <f>AA77*(1+$O4)</f>
        <v>36.41761386053528</v>
      </c>
    </row>
    <row r="78" spans="1:28" ht="10.5" customHeight="1" hidden="1">
      <c r="A78" s="119"/>
      <c r="B78" s="133"/>
      <c r="C78" s="147" t="s">
        <v>52</v>
      </c>
      <c r="D78" s="70">
        <f>NPV(D59,E77:N77)</f>
        <v>318.9061467222832</v>
      </c>
      <c r="E78" s="70">
        <f>NPV(E59,F77:O77)</f>
        <v>310.2412106779192</v>
      </c>
      <c r="F78" s="70">
        <f>NPV(F59,G77:P77)</f>
        <v>301.01261448661745</v>
      </c>
      <c r="G78" s="70">
        <f>NPV(G59,H77:Q77)</f>
        <v>277.3731716942426</v>
      </c>
      <c r="H78" s="70">
        <f>NPV(H59,I77:R77)</f>
        <v>251.80184809846634</v>
      </c>
      <c r="I78" s="70">
        <f>NPV(I59,J77:S77)</f>
        <v>232.40576962404577</v>
      </c>
      <c r="J78" s="70">
        <f>NPV(J59,K77:T77)</f>
        <v>216.99801495998886</v>
      </c>
      <c r="K78" s="70">
        <f>NPV(K59,L77:U77)</f>
        <v>203.19056515744936</v>
      </c>
      <c r="L78" s="70">
        <f>NPV(L59,M77:V77)</f>
        <v>193.89580462949903</v>
      </c>
      <c r="M78" s="70">
        <f>NPV(M59,N77:W77)</f>
        <v>189.5341602825286</v>
      </c>
      <c r="N78" s="70">
        <f>NPV(N59,O77:X77)</f>
        <v>193.32484348817914</v>
      </c>
      <c r="O78" s="70">
        <f>NPV(O59,P77:Y77)</f>
        <v>197.19134035794275</v>
      </c>
      <c r="P78" s="70">
        <f>NPV(P59,Q77:Z77)</f>
        <v>201.13516716510165</v>
      </c>
      <c r="Q78" s="70">
        <f>NPV(Q59,R77:AA77)</f>
        <v>205.15787050840365</v>
      </c>
      <c r="R78" s="70">
        <f>NPV(R59,S77:AB77)</f>
        <v>209.26102791857176</v>
      </c>
      <c r="S78" s="70">
        <f>NPV(S59,T77:AC77)</f>
        <v>198.04041231876036</v>
      </c>
      <c r="T78" s="2">
        <f>NPV(T59,U77:AD77)</f>
        <v>185.17804748039998</v>
      </c>
      <c r="U78" s="2">
        <f>NPV(U59,V77:AE77)</f>
        <v>170.51070342147665</v>
      </c>
      <c r="V78" s="2">
        <f>NPV(V59,W77:AF77)</f>
        <v>153.85988922058996</v>
      </c>
      <c r="W78" s="2">
        <f>NPV(W59,X77:AG77)</f>
        <v>135.0304441349085</v>
      </c>
      <c r="X78" s="2">
        <f>NPV(X59,Y77:AH77)</f>
        <v>113.80899900346476</v>
      </c>
      <c r="Y78" s="2">
        <f>NPV(Y59,Z77:AI77)</f>
        <v>89.96229600009113</v>
      </c>
      <c r="Z78" s="2">
        <f>NPV(Z59,AA77:AJ77)</f>
        <v>63.23535370217328</v>
      </c>
      <c r="AA78" s="2">
        <f>NPV(AA59,AB77:AK77)</f>
        <v>33.349463242248426</v>
      </c>
      <c r="AB78" s="2">
        <f>NPV(AB59,AC77:AL77)</f>
        <v>0</v>
      </c>
    </row>
    <row r="79" spans="1:28" ht="10.5" customHeight="1" hidden="1">
      <c r="A79" s="119"/>
      <c r="B79" s="133"/>
      <c r="C79" s="147" t="s">
        <v>46</v>
      </c>
      <c r="D79" s="70">
        <f>O77/(D59-$O$4)/(1+D59)^10</f>
        <v>162.1624785720272</v>
      </c>
      <c r="E79" s="70">
        <f>P77/(E59-$O$4)/(1+E59)^10</f>
        <v>165.40572814346777</v>
      </c>
      <c r="F79" s="70">
        <f>Q77/(F59-$O$4)/(1+F59)^10</f>
        <v>168.71384270633712</v>
      </c>
      <c r="G79" s="70">
        <f>R77/(G59-$O$4)/(1+G59)^10</f>
        <v>172.08811956046387</v>
      </c>
      <c r="H79" s="70">
        <f>S77/(H59-$O$4)/(1+H59)^10</f>
        <v>175.52988195167313</v>
      </c>
      <c r="I79" s="70">
        <f>T77/(I59-$O$4)/(1+I59)^10</f>
        <v>179.0404795907066</v>
      </c>
      <c r="J79" s="70">
        <f>U77/(J59-$O$4)/(1+J59)^10</f>
        <v>182.62128918252074</v>
      </c>
      <c r="K79" s="70">
        <f>V77/(K59-$O$4)/(1+K59)^10</f>
        <v>186.27371496617118</v>
      </c>
      <c r="L79" s="70">
        <f>W77/(L59-$O$4)/(1+L59)^10</f>
        <v>189.9991892654946</v>
      </c>
      <c r="M79" s="70">
        <f>X77/(M59-$O$4)/(1+M59)^10</f>
        <v>193.7991730508045</v>
      </c>
      <c r="N79" s="70">
        <f>Y77/(N59-$O$4)/(1+N59)^10</f>
        <v>197.67515651182063</v>
      </c>
      <c r="O79" s="70">
        <f>Z77/(O59-$O$4)/(1+O59)^10</f>
        <v>201.62865964205704</v>
      </c>
      <c r="P79" s="70">
        <f>AA77/(P59-$O$4)/(1+P59)^10</f>
        <v>205.6612328348982</v>
      </c>
      <c r="Q79" s="70">
        <f>AB77/(Q59-$O$4)/(1+Q59)^10</f>
        <v>209.77445749159617</v>
      </c>
      <c r="R79" s="70">
        <f>AC77/(R59-$O$4)/(1+R59)^10</f>
        <v>0</v>
      </c>
      <c r="S79" s="70">
        <f>AD77/(S59-$O$4)/(1+S59)^10</f>
        <v>0</v>
      </c>
      <c r="T79" s="2">
        <f>AE77/(T59-$O$4)/(1+T59)^10</f>
        <v>0</v>
      </c>
      <c r="U79" s="2">
        <f>AF77/(U59-$O$4)/(1+U59)^10</f>
        <v>0</v>
      </c>
      <c r="V79" s="2">
        <f>AG77/(V59-$O$4)/(1+V59)^10</f>
        <v>0</v>
      </c>
      <c r="W79" s="2">
        <f>AH77/(W59-$O$4)/(1+W59)^10</f>
        <v>0</v>
      </c>
      <c r="X79" s="2">
        <f>AI77/(X59-$O$4)/(1+X59)^10</f>
        <v>0</v>
      </c>
      <c r="Y79" s="2">
        <f>AJ77/(Y59-$O$4)/(1+Y59)^10</f>
        <v>0</v>
      </c>
      <c r="Z79" s="2">
        <f>AK77/(Z59-$O$4)/(1+Z59)^10</f>
        <v>0</v>
      </c>
      <c r="AA79" s="2">
        <f>AL77/(AA59-$O$4)/(1+AA59)^10</f>
        <v>0</v>
      </c>
      <c r="AB79" s="2">
        <f>AM77/(AB59-$O$4)/(1+AB59)^10</f>
        <v>0</v>
      </c>
    </row>
    <row r="80" spans="1:28" ht="10.5" customHeight="1">
      <c r="A80" s="119">
        <v>41</v>
      </c>
      <c r="B80" s="133"/>
      <c r="C80" s="147" t="s">
        <v>57</v>
      </c>
      <c r="D80" s="96">
        <f aca="true" t="shared" si="84" ref="D80:M80">D78+D79</f>
        <v>481.06862529431044</v>
      </c>
      <c r="E80" s="96">
        <f t="shared" si="84"/>
        <v>475.6469388213869</v>
      </c>
      <c r="F80" s="96">
        <f t="shared" si="84"/>
        <v>469.72645719295457</v>
      </c>
      <c r="G80" s="96">
        <f t="shared" si="84"/>
        <v>449.46129125470645</v>
      </c>
      <c r="H80" s="96">
        <f t="shared" si="84"/>
        <v>427.33173005013947</v>
      </c>
      <c r="I80" s="96">
        <f t="shared" si="84"/>
        <v>411.44624921475236</v>
      </c>
      <c r="J80" s="96">
        <f t="shared" si="84"/>
        <v>399.6193041425096</v>
      </c>
      <c r="K80" s="96">
        <f t="shared" si="84"/>
        <v>389.46428012362054</v>
      </c>
      <c r="L80" s="96">
        <f t="shared" si="84"/>
        <v>383.8949938949936</v>
      </c>
      <c r="M80" s="96">
        <f t="shared" si="84"/>
        <v>383.33333333333314</v>
      </c>
      <c r="N80" s="96">
        <f aca="true" t="shared" si="85" ref="N80:AB80">N78+N79</f>
        <v>390.9999999999998</v>
      </c>
      <c r="O80" s="96">
        <f t="shared" si="85"/>
        <v>398.8199999999998</v>
      </c>
      <c r="P80" s="96">
        <f t="shared" si="85"/>
        <v>406.79639999999984</v>
      </c>
      <c r="Q80" s="96">
        <f t="shared" si="85"/>
        <v>414.9323279999998</v>
      </c>
      <c r="R80" s="96">
        <f t="shared" si="85"/>
        <v>209.26102791857176</v>
      </c>
      <c r="S80" s="96">
        <f t="shared" si="85"/>
        <v>198.04041231876036</v>
      </c>
      <c r="T80" s="40">
        <f t="shared" si="85"/>
        <v>185.17804748039998</v>
      </c>
      <c r="U80" s="40">
        <f t="shared" si="85"/>
        <v>170.51070342147665</v>
      </c>
      <c r="V80" s="40">
        <f t="shared" si="85"/>
        <v>153.85988922058996</v>
      </c>
      <c r="W80" s="40">
        <f t="shared" si="85"/>
        <v>135.0304441349085</v>
      </c>
      <c r="X80" s="40">
        <f t="shared" si="85"/>
        <v>113.80899900346476</v>
      </c>
      <c r="Y80" s="40">
        <f t="shared" si="85"/>
        <v>89.96229600009113</v>
      </c>
      <c r="Z80" s="40">
        <f t="shared" si="85"/>
        <v>63.23535370217328</v>
      </c>
      <c r="AA80" s="40">
        <f t="shared" si="85"/>
        <v>33.349463242248426</v>
      </c>
      <c r="AB80" s="40">
        <f t="shared" si="85"/>
        <v>0</v>
      </c>
    </row>
    <row r="81" spans="1:28" ht="10.5" customHeight="1">
      <c r="A81" s="119">
        <v>42</v>
      </c>
      <c r="B81" s="133"/>
      <c r="C81" s="147" t="s">
        <v>58</v>
      </c>
      <c r="D81" s="140">
        <f>D80+D62</f>
        <v>4250.1238865500945</v>
      </c>
      <c r="E81" s="140">
        <f>E80+E62</f>
        <v>4404.45528411271</v>
      </c>
      <c r="F81" s="140">
        <f>F80+F62</f>
        <v>5145.985170251076</v>
      </c>
      <c r="G81" s="140">
        <f>G80+G62</f>
        <v>5398.9358059141805</v>
      </c>
      <c r="H81" s="140">
        <f>H80+H62</f>
        <v>5416.1579000582815</v>
      </c>
      <c r="I81" s="140">
        <f>I80+I62</f>
        <v>5476.244426863648</v>
      </c>
      <c r="J81" s="140">
        <f>J80+J62</f>
        <v>5725.3789141351035</v>
      </c>
      <c r="K81" s="140">
        <f>K80+K62</f>
        <v>5867.9937742355305</v>
      </c>
      <c r="L81" s="140">
        <f>L80+L62</f>
        <v>6006.505201465199</v>
      </c>
      <c r="M81" s="140">
        <f>M80+M62</f>
        <v>6118.340799999998</v>
      </c>
      <c r="N81" s="140">
        <f>N80+N62</f>
        <v>6240.70761599999</v>
      </c>
      <c r="O81" s="70">
        <f>O80+O62</f>
        <v>6365.5217683200035</v>
      </c>
      <c r="P81" s="70">
        <f>P80+P62</f>
        <v>6492.832203686386</v>
      </c>
      <c r="Q81" s="70">
        <f>Q80+Q62</f>
        <v>414.9323279999998</v>
      </c>
      <c r="R81" s="70">
        <f>R80+R62</f>
        <v>209.26102791857176</v>
      </c>
      <c r="S81" s="70">
        <f>S80+S62</f>
        <v>198.04041231876036</v>
      </c>
      <c r="T81" s="2">
        <f>T80+T62</f>
        <v>185.17804748039998</v>
      </c>
      <c r="U81" s="2">
        <f>U80+U62</f>
        <v>170.51070342147665</v>
      </c>
      <c r="V81" s="2">
        <f>V80+V62</f>
        <v>153.85988922058996</v>
      </c>
      <c r="W81" s="2">
        <f>W80+W62</f>
        <v>135.0304441349085</v>
      </c>
      <c r="X81" s="2">
        <f>X80+X62</f>
        <v>113.80899900346476</v>
      </c>
      <c r="Y81" s="2">
        <f>Y80+Y62</f>
        <v>89.96229600009113</v>
      </c>
      <c r="Z81" s="2">
        <f>Z80+Z62</f>
        <v>63.23535370217328</v>
      </c>
      <c r="AA81" s="2">
        <f>AA80+AA62</f>
        <v>33.349463242248426</v>
      </c>
      <c r="AB81" s="2">
        <f>AB80+AB62</f>
        <v>0</v>
      </c>
    </row>
    <row r="82" spans="1:28" s="107" customFormat="1" ht="10.5" customHeight="1" thickBot="1">
      <c r="A82" s="167">
        <v>43</v>
      </c>
      <c r="B82" s="107" t="s">
        <v>59</v>
      </c>
      <c r="C82" s="169" t="s">
        <v>60</v>
      </c>
      <c r="D82" s="176">
        <f aca="true" t="shared" si="86" ref="D82:M82">D81-D73</f>
        <v>2450.1238865500954</v>
      </c>
      <c r="E82" s="176">
        <f t="shared" si="86"/>
        <v>2604.4552841127106</v>
      </c>
      <c r="F82" s="176">
        <f t="shared" si="86"/>
        <v>2845.985170251077</v>
      </c>
      <c r="G82" s="176">
        <f t="shared" si="86"/>
        <v>3098.9358059141814</v>
      </c>
      <c r="H82" s="176">
        <f t="shared" si="86"/>
        <v>3416.1579000582824</v>
      </c>
      <c r="I82" s="176">
        <f t="shared" si="86"/>
        <v>3676.244426863649</v>
      </c>
      <c r="J82" s="176">
        <f t="shared" si="86"/>
        <v>4025.3789141351044</v>
      </c>
      <c r="K82" s="176">
        <f t="shared" si="86"/>
        <v>4367.993774235531</v>
      </c>
      <c r="L82" s="176">
        <f t="shared" si="86"/>
        <v>4706.5052014652</v>
      </c>
      <c r="M82" s="176">
        <f t="shared" si="86"/>
        <v>5118.340799999999</v>
      </c>
      <c r="N82" s="176">
        <f aca="true" t="shared" si="87" ref="N82:AB82">N81-N73</f>
        <v>5220.707615999991</v>
      </c>
      <c r="O82" s="108">
        <f t="shared" si="87"/>
        <v>5325.121768320005</v>
      </c>
      <c r="P82" s="108">
        <f t="shared" si="87"/>
        <v>5431.624203686386</v>
      </c>
      <c r="Q82" s="108">
        <f t="shared" si="87"/>
        <v>-667.4998320000002</v>
      </c>
      <c r="R82" s="108">
        <f t="shared" si="87"/>
        <v>-894.8197752814283</v>
      </c>
      <c r="S82" s="108">
        <f t="shared" si="87"/>
        <v>-928.1220069452396</v>
      </c>
      <c r="T82" s="109">
        <f t="shared" si="87"/>
        <v>-963.5076201688801</v>
      </c>
      <c r="U82" s="109">
        <f t="shared" si="87"/>
        <v>-1001.1486775807891</v>
      </c>
      <c r="V82" s="109">
        <f t="shared" si="87"/>
        <v>-1041.232679401721</v>
      </c>
      <c r="W82" s="109">
        <f t="shared" si="87"/>
        <v>-1083.963975859849</v>
      </c>
      <c r="X82" s="109">
        <f t="shared" si="87"/>
        <v>-1129.5653093911878</v>
      </c>
      <c r="Y82" s="109">
        <f t="shared" si="87"/>
        <v>-1178.2794985624546</v>
      </c>
      <c r="Z82" s="109">
        <f t="shared" si="87"/>
        <v>-1230.3712767516233</v>
      </c>
      <c r="AA82" s="109">
        <f t="shared" si="87"/>
        <v>-1286.1292998206243</v>
      </c>
      <c r="AB82" s="109">
        <f t="shared" si="87"/>
        <v>-1345.8683383241303</v>
      </c>
    </row>
    <row r="83" spans="1:28" ht="10.5" customHeight="1">
      <c r="A83" s="119">
        <v>44</v>
      </c>
      <c r="B83" s="133"/>
      <c r="C83" s="149" t="s">
        <v>61</v>
      </c>
      <c r="D83" s="99">
        <f>D56*(D73*(1-$D1)+D91)/D91-D75*D73*(1-$D1)/D91</f>
        <v>1.0828428406433683</v>
      </c>
      <c r="E83" s="99">
        <f>E56*(E73*(1-$D1)+E91)/E91-E75*E73*(1-$D1)/E91</f>
        <v>1.0660825103150477</v>
      </c>
      <c r="F83" s="99">
        <f>F56*(F73*(1-$D1)+F91)/F91-F75*F73*(1-$D1)/F91</f>
        <v>1.111140061183762</v>
      </c>
      <c r="G83" s="99">
        <f>G56*(G73*(1-$D1)+G91)/G91-G75*G73*(1-$D1)/G91</f>
        <v>1.085743253638899</v>
      </c>
      <c r="H83" s="99">
        <f>H56*(H73*(1-$D1)+H91)/H91-H75*H73*(1-$D1)/H91</f>
        <v>1.0253994172771883</v>
      </c>
      <c r="I83" s="99">
        <f>I56*(I73*(1-$D1)+I91)/I91-I75*I73*(1-$D1)/I91</f>
        <v>0.9885075962131349</v>
      </c>
      <c r="J83" s="99">
        <f>J56*(J73*(1-$D1)+J91)/J91-J75*J73*(1-$D1)/J91</f>
        <v>0.9625933890848699</v>
      </c>
      <c r="K83" s="99">
        <f>K56*(K73*(1-$D1)+K91)/K91-K75*K73*(1-$D1)/K91</f>
        <v>0.9322117269045495</v>
      </c>
      <c r="L83" s="99">
        <f>L56*(L73*(1-$D1)+L91)/L91-L75*L73*(1-$D1)/L91</f>
        <v>0.9063421750483113</v>
      </c>
      <c r="M83" s="99">
        <f>M56*(M73*(1-$D1)+M91)/M91-M75*M73*(1-$D1)/M91</f>
        <v>0.8752196883802658</v>
      </c>
      <c r="N83" s="99">
        <f>N56*(N73*(1-$D1)+N91)/N91-N75*N73*(1-$D1)/N91</f>
        <v>0.8752196883802659</v>
      </c>
      <c r="O83" s="99">
        <f>O56*(O73*(1-$D1)+O91)/O91-O75*O73*(1-$D1)/O91</f>
        <v>0.8752196883802659</v>
      </c>
      <c r="P83" s="99">
        <f>P56*(P73*(1-$D1)+P91)/P91-P75*P73*(1-$D1)/P91</f>
        <v>0.8752196883802659</v>
      </c>
      <c r="Q83" s="99">
        <f>Q56*(Q73*(1-$D1)+Q91)/Q91-Q75*Q73*(1-$D1)/Q91</f>
        <v>0.875219688380266</v>
      </c>
      <c r="R83" s="99">
        <f>R56*(R73*(1-$D1)+R91)/R91-R75*R73*(1-$D1)/R91</f>
        <v>0.875219688380266</v>
      </c>
      <c r="S83" s="100">
        <f>S56*(S73*(1-$D1)+S91)/S91-S75*S73*(1-$D1)/S91</f>
        <v>0.8752196883802659</v>
      </c>
      <c r="T83" s="11">
        <f>T56*(T73*(1-$D1)+T91)/T91-T75*T73*(1-$D1)/T91</f>
        <v>0.8752196883802661</v>
      </c>
      <c r="U83" s="11">
        <f>U56*(U73*(1-$D1)+U91)/U91-U75*U73*(1-$D1)/U91</f>
        <v>0.875219688380266</v>
      </c>
      <c r="V83" s="11">
        <f>V56*(V73*(1-$D1)+V91)/V91-V75*V73*(1-$D1)/V91</f>
        <v>0.8752196883802661</v>
      </c>
      <c r="W83" s="11">
        <f>W56*(W73*(1-$D1)+W91)/W91-W75*W73*(1-$D1)/W91</f>
        <v>0.8752196883802662</v>
      </c>
      <c r="X83" s="11">
        <f>X56*(X73*(1-$D1)+X91)/X91-X75*X73*(1-$D1)/X91</f>
        <v>0.8752196883802662</v>
      </c>
      <c r="Y83" s="11">
        <f>Y56*(Y73*(1-$D1)+Y91)/Y91-Y75*Y73*(1-$D1)/Y91</f>
        <v>0.8752196883802661</v>
      </c>
      <c r="Z83" s="11">
        <f>Z56*(Z73*(1-$D1)+Z91)/Z91-Z75*Z73*(1-$D1)/Z91</f>
        <v>0.8752196883802661</v>
      </c>
      <c r="AA83" s="11">
        <f>AA56*(AA73*(1-$D1)+AA91)/AA91-AA75*AA73*(1-$D1)/AA91</f>
        <v>0.8752196883802662</v>
      </c>
      <c r="AB83" s="11">
        <f>AB56*(AB73*(1-$D1)+AB91)/AB91-AB75*AB73*(1-$D1)/AB91</f>
        <v>0.8752196883802661</v>
      </c>
    </row>
    <row r="84" spans="1:28" s="7" customFormat="1" ht="10.5" customHeight="1">
      <c r="A84" s="119">
        <v>45</v>
      </c>
      <c r="B84" s="165"/>
      <c r="C84" s="166" t="s">
        <v>62</v>
      </c>
      <c r="D84" s="93">
        <f>D57+D58*D83</f>
        <v>0.10331371362573473</v>
      </c>
      <c r="E84" s="93">
        <f>E57+E58*E83</f>
        <v>0.10264330041260192</v>
      </c>
      <c r="F84" s="93">
        <f>F57+F58*F83</f>
        <v>0.10444560244735049</v>
      </c>
      <c r="G84" s="93">
        <f>G57+G58*G83</f>
        <v>0.10342973014555595</v>
      </c>
      <c r="H84" s="93">
        <f>H57+H58*H83</f>
        <v>0.10101597669108753</v>
      </c>
      <c r="I84" s="93">
        <f>I57+I58*I83</f>
        <v>0.09954030384852539</v>
      </c>
      <c r="J84" s="93">
        <f>J57+J58*J83</f>
        <v>0.0985037355633948</v>
      </c>
      <c r="K84" s="93">
        <f>K57+K58*K83</f>
        <v>0.09728846907618198</v>
      </c>
      <c r="L84" s="93">
        <f>L57+L58*L83</f>
        <v>0.09625368700193246</v>
      </c>
      <c r="M84" s="93">
        <f>M57+M58*M83</f>
        <v>0.09500878753521064</v>
      </c>
      <c r="N84" s="93">
        <f>N57+N58*N83</f>
        <v>0.09500878753521064</v>
      </c>
      <c r="O84" s="93">
        <f>O57+O58*O83</f>
        <v>0.09500878753521064</v>
      </c>
      <c r="P84" s="93">
        <f>O84</f>
        <v>0.09500878753521064</v>
      </c>
      <c r="Q84" s="93">
        <f aca="true" t="shared" si="88" ref="Q84:AB84">P84</f>
        <v>0.09500878753521064</v>
      </c>
      <c r="R84" s="93">
        <f t="shared" si="88"/>
        <v>0.09500878753521064</v>
      </c>
      <c r="S84" s="93">
        <f t="shared" si="88"/>
        <v>0.09500878753521064</v>
      </c>
      <c r="T84" s="93">
        <f t="shared" si="88"/>
        <v>0.09500878753521064</v>
      </c>
      <c r="U84" s="93">
        <f t="shared" si="88"/>
        <v>0.09500878753521064</v>
      </c>
      <c r="V84" s="93">
        <f t="shared" si="88"/>
        <v>0.09500878753521064</v>
      </c>
      <c r="W84" s="93">
        <f t="shared" si="88"/>
        <v>0.09500878753521064</v>
      </c>
      <c r="X84" s="93">
        <f t="shared" si="88"/>
        <v>0.09500878753521064</v>
      </c>
      <c r="Y84" s="93">
        <f t="shared" si="88"/>
        <v>0.09500878753521064</v>
      </c>
      <c r="Z84" s="93">
        <f t="shared" si="88"/>
        <v>0.09500878753521064</v>
      </c>
      <c r="AA84" s="93">
        <f t="shared" si="88"/>
        <v>0.09500878753521064</v>
      </c>
      <c r="AB84" s="93">
        <f t="shared" si="88"/>
        <v>0.09500878753521064</v>
      </c>
    </row>
    <row r="85" spans="1:28" ht="10.5" customHeight="1" hidden="1">
      <c r="A85" s="119"/>
      <c r="B85" s="133"/>
      <c r="C85" s="147" t="s">
        <v>63</v>
      </c>
      <c r="D85" s="100">
        <v>1</v>
      </c>
      <c r="E85" s="100">
        <f>1/(1+D84)</f>
        <v>0.9063605279714844</v>
      </c>
      <c r="F85" s="101">
        <f aca="true" t="shared" si="89" ref="F85:O85">E85/(1+E84)</f>
        <v>0.8219888767585403</v>
      </c>
      <c r="G85" s="101">
        <f t="shared" si="89"/>
        <v>0.7442547418696657</v>
      </c>
      <c r="H85" s="101">
        <f t="shared" si="89"/>
        <v>0.6744921960472184</v>
      </c>
      <c r="I85" s="101">
        <f t="shared" si="89"/>
        <v>0.6126089087955724</v>
      </c>
      <c r="J85" s="101">
        <f t="shared" si="89"/>
        <v>0.557150025925713</v>
      </c>
      <c r="K85" s="101">
        <f t="shared" si="89"/>
        <v>0.5071899237920796</v>
      </c>
      <c r="L85" s="101">
        <f t="shared" si="89"/>
        <v>0.46222113699881295</v>
      </c>
      <c r="M85" s="101">
        <f t="shared" si="89"/>
        <v>0.4216370193133938</v>
      </c>
      <c r="N85" s="101">
        <f t="shared" si="89"/>
        <v>0.38505354853130425</v>
      </c>
      <c r="O85" s="101">
        <f t="shared" si="89"/>
        <v>0.351644254287706</v>
      </c>
      <c r="P85" s="101">
        <f aca="true" t="shared" si="90" ref="P85:AB85">O85/(1+O84)</f>
        <v>0.3211337281404225</v>
      </c>
      <c r="Q85" s="101">
        <f t="shared" si="90"/>
        <v>0.2932704575488133</v>
      </c>
      <c r="R85" s="101">
        <f t="shared" si="90"/>
        <v>0.26782475253823756</v>
      </c>
      <c r="S85" s="101">
        <f t="shared" si="90"/>
        <v>0.24458685225813817</v>
      </c>
      <c r="T85" s="43">
        <f t="shared" si="90"/>
        <v>0.22336519582521921</v>
      </c>
      <c r="U85" s="43">
        <f t="shared" si="90"/>
        <v>0.20398484319746776</v>
      </c>
      <c r="V85" s="43">
        <f t="shared" si="90"/>
        <v>0.18628603306154612</v>
      </c>
      <c r="W85" s="43">
        <f t="shared" si="90"/>
        <v>0.17012286584554556</v>
      </c>
      <c r="X85" s="43">
        <f t="shared" si="90"/>
        <v>0.15536210100055947</v>
      </c>
      <c r="Y85" s="43">
        <f t="shared" si="90"/>
        <v>0.14188205863650544</v>
      </c>
      <c r="Z85" s="43">
        <f t="shared" si="90"/>
        <v>0.12957161645786622</v>
      </c>
      <c r="AA85" s="43">
        <f t="shared" si="90"/>
        <v>0.11832929373062202</v>
      </c>
      <c r="AB85" s="43">
        <f t="shared" si="90"/>
        <v>0.10806241472908461</v>
      </c>
    </row>
    <row r="86" spans="1:28" ht="10.5" customHeight="1" hidden="1">
      <c r="A86" s="122"/>
      <c r="B86" s="39"/>
      <c r="C86" s="151" t="s">
        <v>64</v>
      </c>
      <c r="D86" s="102"/>
      <c r="E86" s="102">
        <f aca="true" t="shared" si="91" ref="E86:AB86">E40</f>
        <v>98.79999999999984</v>
      </c>
      <c r="F86" s="102">
        <f t="shared" si="91"/>
        <v>25.79999999999984</v>
      </c>
      <c r="G86" s="102">
        <f t="shared" si="91"/>
        <v>44.29999999999984</v>
      </c>
      <c r="H86" s="102">
        <f t="shared" si="91"/>
        <v>3.2999999999999545</v>
      </c>
      <c r="I86" s="102">
        <f t="shared" si="91"/>
        <v>85</v>
      </c>
      <c r="J86" s="102">
        <f t="shared" si="91"/>
        <v>16.799999999999955</v>
      </c>
      <c r="K86" s="102">
        <f t="shared" si="91"/>
        <v>53.89999999999998</v>
      </c>
      <c r="L86" s="102">
        <f t="shared" si="91"/>
        <v>86.44400000000019</v>
      </c>
      <c r="M86" s="102">
        <f t="shared" si="91"/>
        <v>41.182879999999386</v>
      </c>
      <c r="N86" s="102">
        <f t="shared" si="91"/>
        <v>383.92053760000135</v>
      </c>
      <c r="O86" s="102">
        <f t="shared" si="91"/>
        <v>391.5989483519993</v>
      </c>
      <c r="P86" s="102">
        <f t="shared" si="91"/>
        <v>399.43092731904017</v>
      </c>
      <c r="Q86" s="102">
        <f t="shared" si="91"/>
        <v>407.41954586542056</v>
      </c>
      <c r="R86" s="102">
        <f t="shared" si="91"/>
        <v>415.5679367827297</v>
      </c>
      <c r="S86" s="102">
        <f t="shared" si="91"/>
        <v>423.87929551838374</v>
      </c>
      <c r="T86" s="39">
        <f t="shared" si="91"/>
        <v>432.3568814287521</v>
      </c>
      <c r="U86" s="39">
        <f t="shared" si="91"/>
        <v>441.00401905732724</v>
      </c>
      <c r="V86" s="39">
        <f t="shared" si="91"/>
        <v>449.824099438473</v>
      </c>
      <c r="W86" s="39">
        <f t="shared" si="91"/>
        <v>458.8205814272428</v>
      </c>
      <c r="X86" s="39">
        <f t="shared" si="91"/>
        <v>467.99699305578747</v>
      </c>
      <c r="Y86" s="39">
        <f t="shared" si="91"/>
        <v>477.356932916902</v>
      </c>
      <c r="Z86" s="39">
        <f t="shared" si="91"/>
        <v>486.90407157524237</v>
      </c>
      <c r="AA86" s="39">
        <f t="shared" si="91"/>
        <v>496.6421530067439</v>
      </c>
      <c r="AB86" s="39">
        <f t="shared" si="91"/>
        <v>506.5749960668793</v>
      </c>
    </row>
    <row r="87" spans="1:28" ht="10.5" customHeight="1" hidden="1">
      <c r="A87" s="119"/>
      <c r="B87" s="133"/>
      <c r="C87" s="147" t="s">
        <v>65</v>
      </c>
      <c r="D87" s="70"/>
      <c r="E87" s="70">
        <f aca="true" t="shared" si="92" ref="E87:N87">E86*E85</f>
        <v>89.5484201635825</v>
      </c>
      <c r="F87" s="70">
        <f t="shared" si="92"/>
        <v>21.207313020370208</v>
      </c>
      <c r="G87" s="70">
        <f t="shared" si="92"/>
        <v>32.97048506482607</v>
      </c>
      <c r="H87" s="70">
        <f t="shared" si="92"/>
        <v>2.2258242469557903</v>
      </c>
      <c r="I87" s="70">
        <f t="shared" si="92"/>
        <v>52.07175724762365</v>
      </c>
      <c r="J87" s="70">
        <f t="shared" si="92"/>
        <v>9.360120435551954</v>
      </c>
      <c r="K87" s="70">
        <f t="shared" si="92"/>
        <v>27.33753689239308</v>
      </c>
      <c r="L87" s="70">
        <f t="shared" si="92"/>
        <v>39.956243966725474</v>
      </c>
      <c r="M87" s="70">
        <f t="shared" si="92"/>
        <v>17.36422676994092</v>
      </c>
      <c r="N87" s="70">
        <f t="shared" si="92"/>
        <v>147.82996535692655</v>
      </c>
      <c r="O87" s="70">
        <f aca="true" t="shared" si="93" ref="O87:AB87">O86*O85</f>
        <v>137.7035201730887</v>
      </c>
      <c r="P87" s="70">
        <f t="shared" si="93"/>
        <v>128.2707428245495</v>
      </c>
      <c r="Q87" s="70">
        <f t="shared" si="93"/>
        <v>119.48411663028162</v>
      </c>
      <c r="R87" s="70">
        <f t="shared" si="93"/>
        <v>111.29937983166053</v>
      </c>
      <c r="S87" s="70">
        <f t="shared" si="93"/>
        <v>103.67530262823861</v>
      </c>
      <c r="T87" s="2">
        <f t="shared" si="93"/>
        <v>96.5734794867143</v>
      </c>
      <c r="U87" s="2">
        <f t="shared" si="93"/>
        <v>89.95813567686199</v>
      </c>
      <c r="V87" s="2">
        <f t="shared" si="93"/>
        <v>83.79594705987559</v>
      </c>
      <c r="W87" s="2">
        <f t="shared" si="93"/>
        <v>78.05587222132205</v>
      </c>
      <c r="X87" s="2">
        <f t="shared" si="93"/>
        <v>72.70899610309138</v>
      </c>
      <c r="Y87" s="2">
        <f t="shared" si="93"/>
        <v>67.72838434665829</v>
      </c>
      <c r="Z87" s="2">
        <f t="shared" si="93"/>
        <v>63.088947613920745</v>
      </c>
      <c r="AA87" s="2">
        <f t="shared" si="93"/>
        <v>58.76731520214353</v>
      </c>
      <c r="AB87" s="2">
        <f t="shared" si="93"/>
        <v>54.74171731636351</v>
      </c>
    </row>
    <row r="88" spans="1:28" ht="10.5" customHeight="1" hidden="1">
      <c r="A88" s="119"/>
      <c r="B88" s="133"/>
      <c r="C88" s="147" t="s">
        <v>52</v>
      </c>
      <c r="D88" s="70">
        <f>SUM(E87:N87)</f>
        <v>439.87189316489616</v>
      </c>
      <c r="E88" s="70">
        <f aca="true" t="shared" si="94" ref="E88:N88">SUM(F87:O87)/E85</f>
        <v>538.446874188851</v>
      </c>
      <c r="F88" s="70">
        <f t="shared" si="94"/>
        <v>723.9640824889044</v>
      </c>
      <c r="G88" s="70">
        <f t="shared" si="94"/>
        <v>915.8209094264664</v>
      </c>
      <c r="H88" s="70">
        <f t="shared" si="94"/>
        <v>1172.2561280358977</v>
      </c>
      <c r="I88" s="70">
        <f t="shared" si="94"/>
        <v>1374.9084341024923</v>
      </c>
      <c r="J88" s="70">
        <f t="shared" si="94"/>
        <v>1668.3020215536208</v>
      </c>
      <c r="K88" s="70">
        <f t="shared" si="94"/>
        <v>1956.1017812169737</v>
      </c>
      <c r="L88" s="70">
        <f t="shared" si="94"/>
        <v>2241.2536630508935</v>
      </c>
      <c r="M88" s="70">
        <f t="shared" si="94"/>
        <v>2600.925468250703</v>
      </c>
      <c r="N88" s="70">
        <f t="shared" si="94"/>
        <v>2652.9439776157155</v>
      </c>
      <c r="O88" s="70">
        <f aca="true" t="shared" si="95" ref="O88:AB88">SUM(P87:Y87)/O85</f>
        <v>2706.002857168031</v>
      </c>
      <c r="P88" s="70">
        <f t="shared" si="95"/>
        <v>2760.1229143113915</v>
      </c>
      <c r="Q88" s="70">
        <f t="shared" si="95"/>
        <v>2815.325372597619</v>
      </c>
      <c r="R88" s="70">
        <f t="shared" si="95"/>
        <v>2871.63188004957</v>
      </c>
      <c r="S88" s="70">
        <f t="shared" si="95"/>
        <v>2720.5828477021537</v>
      </c>
      <c r="T88" s="2">
        <f t="shared" si="95"/>
        <v>2546.7052440226735</v>
      </c>
      <c r="U88" s="2">
        <f t="shared" si="95"/>
        <v>2347.6606024095026</v>
      </c>
      <c r="V88" s="2">
        <f t="shared" si="95"/>
        <v>2120.884890350139</v>
      </c>
      <c r="W88" s="2">
        <f t="shared" si="95"/>
        <v>1863.5670108568102</v>
      </c>
      <c r="X88" s="2">
        <f t="shared" si="95"/>
        <v>1572.625259993145</v>
      </c>
      <c r="Y88" s="2">
        <f t="shared" si="95"/>
        <v>1244.6815462754369</v>
      </c>
      <c r="Z88" s="2">
        <f t="shared" si="95"/>
        <v>876.033159279275</v>
      </c>
      <c r="AA88" s="2">
        <f t="shared" si="95"/>
        <v>462.62185457629494</v>
      </c>
      <c r="AB88" s="2">
        <f t="shared" si="95"/>
        <v>0</v>
      </c>
    </row>
    <row r="89" spans="1:28" ht="10.5" customHeight="1" hidden="1">
      <c r="A89" s="119"/>
      <c r="B89" s="133"/>
      <c r="C89" s="147" t="s">
        <v>46</v>
      </c>
      <c r="D89" s="70">
        <f>O86/(O84-$O$4)*N85</f>
        <v>2010.251993385202</v>
      </c>
      <c r="E89" s="70">
        <f aca="true" t="shared" si="96" ref="E89:N89">P86/(P84-$O$4)*O85/E85</f>
        <v>2066.0084099238607</v>
      </c>
      <c r="F89" s="70">
        <f t="shared" si="96"/>
        <v>2122.0210877621753</v>
      </c>
      <c r="G89" s="70">
        <f t="shared" si="96"/>
        <v>2183.1148964877166</v>
      </c>
      <c r="H89" s="70">
        <f t="shared" si="96"/>
        <v>2243.901772022388</v>
      </c>
      <c r="I89" s="70">
        <f t="shared" si="96"/>
        <v>2301.335992761159</v>
      </c>
      <c r="J89" s="70">
        <f t="shared" si="96"/>
        <v>2357.0768925814873</v>
      </c>
      <c r="K89" s="70">
        <f t="shared" si="96"/>
        <v>2411.8919930185607</v>
      </c>
      <c r="L89" s="70">
        <f t="shared" si="96"/>
        <v>2465.2515384143126</v>
      </c>
      <c r="M89" s="70">
        <f t="shared" si="96"/>
        <v>2517.4153317493015</v>
      </c>
      <c r="N89" s="70">
        <f t="shared" si="96"/>
        <v>2567.7636383842805</v>
      </c>
      <c r="O89" s="70">
        <f aca="true" t="shared" si="97" ref="O89:AB89">Z86/(Z84-$O$4)*Y85/O85</f>
        <v>2619.118911151979</v>
      </c>
      <c r="P89" s="70">
        <f t="shared" si="97"/>
        <v>2671.5012893750004</v>
      </c>
      <c r="Q89" s="70">
        <f t="shared" si="97"/>
        <v>2724.931315162503</v>
      </c>
      <c r="R89" s="70">
        <f t="shared" si="97"/>
        <v>0</v>
      </c>
      <c r="S89" s="70">
        <f t="shared" si="97"/>
        <v>0</v>
      </c>
      <c r="T89" s="2">
        <f t="shared" si="97"/>
        <v>0</v>
      </c>
      <c r="U89" s="2">
        <f t="shared" si="97"/>
        <v>0</v>
      </c>
      <c r="V89" s="2">
        <f t="shared" si="97"/>
        <v>0</v>
      </c>
      <c r="W89" s="2">
        <f t="shared" si="97"/>
        <v>0</v>
      </c>
      <c r="X89" s="2">
        <f t="shared" si="97"/>
        <v>0</v>
      </c>
      <c r="Y89" s="2">
        <f t="shared" si="97"/>
        <v>0</v>
      </c>
      <c r="Z89" s="2">
        <f t="shared" si="97"/>
        <v>0</v>
      </c>
      <c r="AA89" s="2">
        <f t="shared" si="97"/>
        <v>0</v>
      </c>
      <c r="AB89" s="2">
        <f t="shared" si="97"/>
        <v>0</v>
      </c>
    </row>
    <row r="90" spans="1:28" s="107" customFormat="1" ht="10.5" customHeight="1" thickBot="1">
      <c r="A90" s="167">
        <v>46</v>
      </c>
      <c r="C90" s="170" t="s">
        <v>66</v>
      </c>
      <c r="D90" s="176">
        <f>D88+D89</f>
        <v>2450.123886550098</v>
      </c>
      <c r="E90" s="176">
        <f aca="true" t="shared" si="98" ref="E90:M90">E88+E89</f>
        <v>2604.4552841127115</v>
      </c>
      <c r="F90" s="176">
        <f t="shared" si="98"/>
        <v>2845.9851702510796</v>
      </c>
      <c r="G90" s="176">
        <f t="shared" si="98"/>
        <v>3098.935805914183</v>
      </c>
      <c r="H90" s="176">
        <f t="shared" si="98"/>
        <v>3416.1579000582856</v>
      </c>
      <c r="I90" s="176">
        <f t="shared" si="98"/>
        <v>3676.2444268636514</v>
      </c>
      <c r="J90" s="176">
        <f t="shared" si="98"/>
        <v>4025.378914135108</v>
      </c>
      <c r="K90" s="176">
        <f t="shared" si="98"/>
        <v>4367.993774235534</v>
      </c>
      <c r="L90" s="176">
        <f t="shared" si="98"/>
        <v>4706.5052014652065</v>
      </c>
      <c r="M90" s="176">
        <f t="shared" si="98"/>
        <v>5118.3408000000045</v>
      </c>
      <c r="N90" s="176">
        <f aca="true" t="shared" si="99" ref="N90:AB90">N88+N89</f>
        <v>5220.707615999996</v>
      </c>
      <c r="O90" s="108">
        <f t="shared" si="99"/>
        <v>5325.12176832001</v>
      </c>
      <c r="P90" s="108">
        <f t="shared" si="99"/>
        <v>5431.624203686391</v>
      </c>
      <c r="Q90" s="108">
        <f t="shared" si="99"/>
        <v>5540.256687760122</v>
      </c>
      <c r="R90" s="108">
        <f t="shared" si="99"/>
        <v>2871.63188004957</v>
      </c>
      <c r="S90" s="108">
        <f t="shared" si="99"/>
        <v>2720.5828477021537</v>
      </c>
      <c r="T90" s="109">
        <f t="shared" si="99"/>
        <v>2546.7052440226735</v>
      </c>
      <c r="U90" s="109">
        <f t="shared" si="99"/>
        <v>2347.6606024095026</v>
      </c>
      <c r="V90" s="109">
        <f t="shared" si="99"/>
        <v>2120.884890350139</v>
      </c>
      <c r="W90" s="109">
        <f t="shared" si="99"/>
        <v>1863.5670108568102</v>
      </c>
      <c r="X90" s="109">
        <f t="shared" si="99"/>
        <v>1572.625259993145</v>
      </c>
      <c r="Y90" s="109">
        <f t="shared" si="99"/>
        <v>1244.6815462754369</v>
      </c>
      <c r="Z90" s="109">
        <f t="shared" si="99"/>
        <v>876.033159279275</v>
      </c>
      <c r="AA90" s="109">
        <f t="shared" si="99"/>
        <v>462.62185457629494</v>
      </c>
      <c r="AB90" s="109">
        <f t="shared" si="99"/>
        <v>0</v>
      </c>
    </row>
    <row r="91" spans="1:28" ht="10.5" customHeight="1">
      <c r="A91" s="172">
        <v>47</v>
      </c>
      <c r="B91" s="173"/>
      <c r="C91" s="171" t="s">
        <v>67</v>
      </c>
      <c r="D91" s="103">
        <f>D90</f>
        <v>2450.123886550098</v>
      </c>
      <c r="E91" s="103">
        <f aca="true" t="shared" si="100" ref="E91:N91">D91*(1+D84)-E86</f>
        <v>2604.4552841127074</v>
      </c>
      <c r="F91" s="103">
        <f t="shared" si="100"/>
        <v>2845.985170251077</v>
      </c>
      <c r="G91" s="103">
        <f t="shared" si="100"/>
        <v>3098.9358059141764</v>
      </c>
      <c r="H91" s="103">
        <f t="shared" si="100"/>
        <v>3416.1579000582806</v>
      </c>
      <c r="I91" s="103">
        <f t="shared" si="100"/>
        <v>3676.244426863642</v>
      </c>
      <c r="J91" s="103">
        <f t="shared" si="100"/>
        <v>4025.378914135097</v>
      </c>
      <c r="K91" s="103">
        <f t="shared" si="100"/>
        <v>4367.993774235527</v>
      </c>
      <c r="L91" s="103">
        <f t="shared" si="100"/>
        <v>4706.505201465195</v>
      </c>
      <c r="M91" s="103">
        <f t="shared" si="100"/>
        <v>5118.340799999993</v>
      </c>
      <c r="N91" s="103">
        <f t="shared" si="100"/>
        <v>5220.707615999991</v>
      </c>
      <c r="O91" s="71">
        <f aca="true" t="shared" si="101" ref="O91:AB91">N91*(1+N84)-O86</f>
        <v>5325.12176831999</v>
      </c>
      <c r="P91" s="71">
        <f t="shared" si="101"/>
        <v>5431.624203686389</v>
      </c>
      <c r="Q91" s="71">
        <f t="shared" si="101"/>
        <v>5540.256687760116</v>
      </c>
      <c r="R91" s="71">
        <f t="shared" si="101"/>
        <v>5651.061821515316</v>
      </c>
      <c r="S91" s="71">
        <f t="shared" si="101"/>
        <v>5764.0830579456215</v>
      </c>
      <c r="T91" s="64">
        <f t="shared" si="101"/>
        <v>5879.364719104532</v>
      </c>
      <c r="U91" s="64">
        <f t="shared" si="101"/>
        <v>5996.952013486621</v>
      </c>
      <c r="V91" s="64">
        <f t="shared" si="101"/>
        <v>6116.891053756351</v>
      </c>
      <c r="W91" s="64">
        <f t="shared" si="101"/>
        <v>6239.228874831475</v>
      </c>
      <c r="X91" s="64">
        <f t="shared" si="101"/>
        <v>6364.013452328102</v>
      </c>
      <c r="Y91" s="64">
        <f t="shared" si="101"/>
        <v>6491.293721374663</v>
      </c>
      <c r="Z91" s="64">
        <f t="shared" si="101"/>
        <v>6621.119595802152</v>
      </c>
      <c r="AA91" s="64">
        <f t="shared" si="101"/>
        <v>6753.541987718194</v>
      </c>
      <c r="AB91" s="64">
        <f t="shared" si="101"/>
        <v>6888.612827472556</v>
      </c>
    </row>
    <row r="92" spans="1:28" s="7" customFormat="1" ht="10.5" customHeight="1">
      <c r="A92" s="119">
        <v>48</v>
      </c>
      <c r="B92" s="165"/>
      <c r="C92" s="166" t="s">
        <v>68</v>
      </c>
      <c r="D92" s="93">
        <f>(D91*D84+D73*D74-D72*D67*$D1)/(D91+D73)</f>
        <v>0.0803109289691021</v>
      </c>
      <c r="E92" s="93">
        <f>(E91*E84+E73*E74-E72*E67*$D1)/(E91+E73)</f>
        <v>0.08072051211889913</v>
      </c>
      <c r="F92" s="93">
        <f>(F91*F84+F73*F74-F72*F67*$D1)/(F91+F73)</f>
        <v>0.07966416965851793</v>
      </c>
      <c r="G92" s="93">
        <f>(G91*G84+G73*G74-G72*G67*$D1)/(G91+G73)</f>
        <v>0.08024212728544357</v>
      </c>
      <c r="H92" s="93">
        <f>(H91*H84+H73*H74-H72*H67*$D1)/(H91+H73)</f>
        <v>0.0818082734996692</v>
      </c>
      <c r="I92" s="93">
        <f>(I91*I84+I73*I74-I72*I67*$D1)/(I91+I73)</f>
        <v>0.08292808937521204</v>
      </c>
      <c r="J92" s="93">
        <f>(J91*J84+J73*J74-J72*J67*$D1)/(J91+J73)</f>
        <v>0.08380490921148266</v>
      </c>
      <c r="K92" s="93">
        <f>(K91*K84+K73*K74-K72*K67*$D1)/(K91+K73)</f>
        <v>0.08494477779070352</v>
      </c>
      <c r="L92" s="93">
        <f>(L91*L84+L73*L74-L72*L67*$D1)/(L91+L73)</f>
        <v>0.08602647649564217</v>
      </c>
      <c r="M92" s="93">
        <f>(M91*M84+M73*M74-M72*M67*$D1)/(M91+M73)</f>
        <v>0.08748897308891325</v>
      </c>
      <c r="N92" s="93">
        <f>(N91*N84+N73*N74-N72*N67*$D1)/(N91+N73)</f>
        <v>0.08748897308891326</v>
      </c>
      <c r="O92" s="93">
        <f>(O91*O84+O73*O74-O72*O67*$D1)/(O91+O73)</f>
        <v>0.08748897308891325</v>
      </c>
      <c r="P92" s="93">
        <f>O92</f>
        <v>0.08748897308891325</v>
      </c>
      <c r="Q92" s="93">
        <f aca="true" t="shared" si="102" ref="Q92:AB92">P92</f>
        <v>0.08748897308891325</v>
      </c>
      <c r="R92" s="93">
        <f t="shared" si="102"/>
        <v>0.08748897308891325</v>
      </c>
      <c r="S92" s="93">
        <f t="shared" si="102"/>
        <v>0.08748897308891325</v>
      </c>
      <c r="T92" s="93">
        <f t="shared" si="102"/>
        <v>0.08748897308891325</v>
      </c>
      <c r="U92" s="93">
        <f t="shared" si="102"/>
        <v>0.08748897308891325</v>
      </c>
      <c r="V92" s="93">
        <f t="shared" si="102"/>
        <v>0.08748897308891325</v>
      </c>
      <c r="W92" s="93">
        <f t="shared" si="102"/>
        <v>0.08748897308891325</v>
      </c>
      <c r="X92" s="93">
        <f t="shared" si="102"/>
        <v>0.08748897308891325</v>
      </c>
      <c r="Y92" s="93">
        <f t="shared" si="102"/>
        <v>0.08748897308891325</v>
      </c>
      <c r="Z92" s="93">
        <f t="shared" si="102"/>
        <v>0.08748897308891325</v>
      </c>
      <c r="AA92" s="93">
        <f t="shared" si="102"/>
        <v>0.08748897308891325</v>
      </c>
      <c r="AB92" s="93">
        <f t="shared" si="102"/>
        <v>0.08748897308891325</v>
      </c>
    </row>
    <row r="93" spans="1:28" ht="10.5" customHeight="1" hidden="1">
      <c r="A93" s="119"/>
      <c r="B93" s="133"/>
      <c r="C93" s="147" t="s">
        <v>69</v>
      </c>
      <c r="D93" s="100">
        <v>1</v>
      </c>
      <c r="E93" s="100">
        <f>1/(1+D92)</f>
        <v>0.9256594311734495</v>
      </c>
      <c r="F93" s="100">
        <f aca="true" t="shared" si="103" ref="F93:O93">E93/(1+E92)</f>
        <v>0.8565206459888215</v>
      </c>
      <c r="G93" s="100">
        <f t="shared" si="103"/>
        <v>0.7933213586774178</v>
      </c>
      <c r="H93" s="100">
        <f t="shared" si="103"/>
        <v>0.7343921687917937</v>
      </c>
      <c r="I93" s="100">
        <f t="shared" si="103"/>
        <v>0.6788561215343841</v>
      </c>
      <c r="J93" s="100">
        <f t="shared" si="103"/>
        <v>0.6268709143245564</v>
      </c>
      <c r="K93" s="100">
        <f t="shared" si="103"/>
        <v>0.5783982975133721</v>
      </c>
      <c r="L93" s="100">
        <f t="shared" si="103"/>
        <v>0.5331131218412581</v>
      </c>
      <c r="M93" s="100">
        <f t="shared" si="103"/>
        <v>0.490884092956455</v>
      </c>
      <c r="N93" s="100">
        <f t="shared" si="103"/>
        <v>0.45139224866082417</v>
      </c>
      <c r="O93" s="100">
        <f t="shared" si="103"/>
        <v>0.41507754085881504</v>
      </c>
      <c r="P93" s="100">
        <f aca="true" t="shared" si="104" ref="P93:AB93">O93/(1+O92)</f>
        <v>0.3816843675019758</v>
      </c>
      <c r="Q93" s="100">
        <f t="shared" si="104"/>
        <v>0.3509776898406944</v>
      </c>
      <c r="R93" s="100">
        <f t="shared" si="104"/>
        <v>0.32274137809763187</v>
      </c>
      <c r="S93" s="100">
        <f t="shared" si="104"/>
        <v>0.29677669023246683</v>
      </c>
      <c r="T93" s="11">
        <f t="shared" si="104"/>
        <v>0.27290087309069416</v>
      </c>
      <c r="U93" s="11">
        <f t="shared" si="104"/>
        <v>0.2509458760906275</v>
      </c>
      <c r="V93" s="11">
        <f t="shared" si="104"/>
        <v>0.23075716839485613</v>
      </c>
      <c r="W93" s="11">
        <f t="shared" si="104"/>
        <v>0.21219265124078587</v>
      </c>
      <c r="X93" s="11">
        <f t="shared" si="104"/>
        <v>0.19512165777467333</v>
      </c>
      <c r="Y93" s="11">
        <f t="shared" si="104"/>
        <v>0.1794240333494583</v>
      </c>
      <c r="Z93" s="11">
        <f t="shared" si="104"/>
        <v>0.16498928981304584</v>
      </c>
      <c r="AA93" s="11">
        <f t="shared" si="104"/>
        <v>0.1517158278344734</v>
      </c>
      <c r="AB93" s="11">
        <f t="shared" si="104"/>
        <v>0.1395102217942849</v>
      </c>
    </row>
    <row r="94" spans="1:28" ht="10.5" customHeight="1" hidden="1">
      <c r="A94" s="122">
        <v>28</v>
      </c>
      <c r="B94" s="39"/>
      <c r="C94" s="151" t="s">
        <v>32</v>
      </c>
      <c r="D94" s="102"/>
      <c r="E94" s="102">
        <f aca="true" t="shared" si="105" ref="E94:AB94">E42</f>
        <v>186.99999999999983</v>
      </c>
      <c r="F94" s="102">
        <f t="shared" si="105"/>
        <v>-386.00000000000017</v>
      </c>
      <c r="G94" s="102">
        <f t="shared" si="105"/>
        <v>156.99999999999986</v>
      </c>
      <c r="H94" s="102">
        <f t="shared" si="105"/>
        <v>416</v>
      </c>
      <c r="I94" s="102">
        <f t="shared" si="105"/>
        <v>383</v>
      </c>
      <c r="J94" s="102">
        <f t="shared" si="105"/>
        <v>204.99999999999994</v>
      </c>
      <c r="K94" s="102">
        <f t="shared" si="105"/>
        <v>337.2</v>
      </c>
      <c r="L94" s="102">
        <f t="shared" si="105"/>
        <v>359.9440000000002</v>
      </c>
      <c r="M94" s="102">
        <f t="shared" si="105"/>
        <v>404.8828799999994</v>
      </c>
      <c r="N94" s="102">
        <f t="shared" si="105"/>
        <v>412.92053760000135</v>
      </c>
      <c r="O94" s="102">
        <f t="shared" si="105"/>
        <v>421.1789483519992</v>
      </c>
      <c r="P94" s="102">
        <f t="shared" si="105"/>
        <v>429.6025273190402</v>
      </c>
      <c r="Q94" s="102">
        <f t="shared" si="105"/>
        <v>438.19457786542057</v>
      </c>
      <c r="R94" s="102">
        <f t="shared" si="105"/>
        <v>446.95846942272976</v>
      </c>
      <c r="S94" s="102">
        <f t="shared" si="105"/>
        <v>455.8976388111838</v>
      </c>
      <c r="T94" s="39">
        <f t="shared" si="105"/>
        <v>465.015591587408</v>
      </c>
      <c r="U94" s="39">
        <f t="shared" si="105"/>
        <v>474.3159034191563</v>
      </c>
      <c r="V94" s="39">
        <f t="shared" si="105"/>
        <v>483.80222148753865</v>
      </c>
      <c r="W94" s="39">
        <f t="shared" si="105"/>
        <v>493.4782659172897</v>
      </c>
      <c r="X94" s="39">
        <f t="shared" si="105"/>
        <v>503.34783123563534</v>
      </c>
      <c r="Y94" s="39">
        <f t="shared" si="105"/>
        <v>513.4147878603469</v>
      </c>
      <c r="Z94" s="39">
        <f t="shared" si="105"/>
        <v>523.6830836175561</v>
      </c>
      <c r="AA94" s="39">
        <f t="shared" si="105"/>
        <v>534.1567452899039</v>
      </c>
      <c r="AB94" s="39">
        <f t="shared" si="105"/>
        <v>544.8398801957026</v>
      </c>
    </row>
    <row r="95" spans="1:28" ht="10.5" customHeight="1" hidden="1">
      <c r="A95" s="119"/>
      <c r="B95" s="133"/>
      <c r="C95" s="147" t="s">
        <v>70</v>
      </c>
      <c r="D95" s="70"/>
      <c r="E95" s="70">
        <f aca="true" t="shared" si="106" ref="E95:N95">E94*E93</f>
        <v>173.0983136294349</v>
      </c>
      <c r="F95" s="70">
        <f t="shared" si="106"/>
        <v>-330.61696935168527</v>
      </c>
      <c r="G95" s="70">
        <f t="shared" si="106"/>
        <v>124.55145331235448</v>
      </c>
      <c r="H95" s="70">
        <f t="shared" si="106"/>
        <v>305.50714221738616</v>
      </c>
      <c r="I95" s="70">
        <f t="shared" si="106"/>
        <v>260.0018945476691</v>
      </c>
      <c r="J95" s="70">
        <f t="shared" si="106"/>
        <v>128.50853743653403</v>
      </c>
      <c r="K95" s="70">
        <f t="shared" si="106"/>
        <v>195.03590592150908</v>
      </c>
      <c r="L95" s="70">
        <f t="shared" si="106"/>
        <v>191.89086952802992</v>
      </c>
      <c r="M95" s="70">
        <f t="shared" si="106"/>
        <v>198.75056530239692</v>
      </c>
      <c r="N95" s="70">
        <f t="shared" si="106"/>
        <v>186.389129985501</v>
      </c>
      <c r="O95" s="70">
        <f aca="true" t="shared" si="107" ref="O95:AB95">O94*O93</f>
        <v>174.8219221434497</v>
      </c>
      <c r="P95" s="70">
        <f t="shared" si="107"/>
        <v>163.97256891701815</v>
      </c>
      <c r="Q95" s="70">
        <f t="shared" si="107"/>
        <v>153.79652063992359</v>
      </c>
      <c r="R95" s="70">
        <f t="shared" si="107"/>
        <v>144.25199237390007</v>
      </c>
      <c r="S95" s="70">
        <f t="shared" si="107"/>
        <v>135.29979233117976</v>
      </c>
      <c r="T95" s="2">
        <f t="shared" si="107"/>
        <v>126.9031609449893</v>
      </c>
      <c r="U95" s="2">
        <f t="shared" si="107"/>
        <v>119.02761992723765</v>
      </c>
      <c r="V95" s="2">
        <f t="shared" si="107"/>
        <v>111.64083069360544</v>
      </c>
      <c r="W95" s="2">
        <f t="shared" si="107"/>
        <v>104.71246157469525</v>
      </c>
      <c r="X95" s="2">
        <f t="shared" si="107"/>
        <v>98.21406326798366</v>
      </c>
      <c r="Y95" s="2">
        <f t="shared" si="107"/>
        <v>92.11895201915995</v>
      </c>
      <c r="Z95" s="2">
        <f t="shared" si="107"/>
        <v>86.40210005316648</v>
      </c>
      <c r="AA95" s="2">
        <f t="shared" si="107"/>
        <v>81.04003280502573</v>
      </c>
      <c r="AB95" s="2">
        <f t="shared" si="107"/>
        <v>76.01073252847408</v>
      </c>
    </row>
    <row r="96" spans="1:28" ht="10.5" customHeight="1" hidden="1">
      <c r="A96" s="119"/>
      <c r="B96" s="133"/>
      <c r="C96" s="147" t="s">
        <v>52</v>
      </c>
      <c r="D96" s="70">
        <f>SUM(E95:N95)</f>
        <v>1433.1168425291305</v>
      </c>
      <c r="E96" s="70">
        <f aca="true" t="shared" si="108" ref="E96:N96">SUM(F95:O95)/E93</f>
        <v>1550.073820588866</v>
      </c>
      <c r="F96" s="70">
        <f t="shared" si="108"/>
        <v>2252.636872616646</v>
      </c>
      <c r="G96" s="70">
        <f t="shared" si="108"/>
        <v>2468.955405291009</v>
      </c>
      <c r="H96" s="70">
        <f t="shared" si="108"/>
        <v>2447.493291973699</v>
      </c>
      <c r="I96" s="70">
        <f t="shared" si="108"/>
        <v>2464.024042088157</v>
      </c>
      <c r="J96" s="70">
        <f t="shared" si="108"/>
        <v>2665.7999117545514</v>
      </c>
      <c r="K96" s="70">
        <f t="shared" si="108"/>
        <v>2757.7953616932086</v>
      </c>
      <c r="L96" s="70">
        <f t="shared" si="108"/>
        <v>2841.524699349401</v>
      </c>
      <c r="M96" s="70">
        <f t="shared" si="108"/>
        <v>2894.4022019013287</v>
      </c>
      <c r="N96" s="70">
        <f t="shared" si="108"/>
        <v>2952.290245939354</v>
      </c>
      <c r="O96" s="70">
        <f aca="true" t="shared" si="109" ref="O96:AB96">SUM(P95:Y95)/O93</f>
        <v>3011.336050858141</v>
      </c>
      <c r="P96" s="70">
        <f t="shared" si="109"/>
        <v>3071.5627718753044</v>
      </c>
      <c r="Q96" s="70">
        <f t="shared" si="109"/>
        <v>3132.99402731281</v>
      </c>
      <c r="R96" s="70">
        <f t="shared" si="109"/>
        <v>3195.6539078590645</v>
      </c>
      <c r="S96" s="70">
        <f t="shared" si="109"/>
        <v>3019.3407477940427</v>
      </c>
      <c r="T96" s="2">
        <f t="shared" si="109"/>
        <v>2818.4841776366475</v>
      </c>
      <c r="U96" s="2">
        <f t="shared" si="109"/>
        <v>2590.754560586272</v>
      </c>
      <c r="V96" s="2">
        <f t="shared" si="109"/>
        <v>2333.6147951298444</v>
      </c>
      <c r="W96" s="2">
        <f t="shared" si="109"/>
        <v>2044.302091223559</v>
      </c>
      <c r="X96" s="2">
        <f t="shared" si="109"/>
        <v>1719.808150632591</v>
      </c>
      <c r="Y96" s="2">
        <f t="shared" si="109"/>
        <v>1356.8576117810323</v>
      </c>
      <c r="Z96" s="2">
        <f t="shared" si="109"/>
        <v>951.884607246074</v>
      </c>
      <c r="AA96" s="2">
        <f t="shared" si="109"/>
        <v>501.0072687432725</v>
      </c>
      <c r="AB96" s="2">
        <f t="shared" si="109"/>
        <v>0</v>
      </c>
    </row>
    <row r="97" spans="1:28" ht="10.5" customHeight="1" hidden="1">
      <c r="A97" s="119"/>
      <c r="B97" s="133"/>
      <c r="C97" s="147" t="s">
        <v>46</v>
      </c>
      <c r="D97" s="70">
        <f>O94/(O92-$O$4)*N93</f>
        <v>2817.0070440209665</v>
      </c>
      <c r="E97" s="70">
        <f aca="true" t="shared" si="110" ref="E97:N97">P94/(P92-$O$4)*O93/E93</f>
        <v>2854.3814635238473</v>
      </c>
      <c r="F97" s="70">
        <f t="shared" si="110"/>
        <v>2893.348297634434</v>
      </c>
      <c r="G97" s="70">
        <f t="shared" si="110"/>
        <v>2929.9804006231757</v>
      </c>
      <c r="H97" s="70">
        <f t="shared" si="110"/>
        <v>2968.664608084587</v>
      </c>
      <c r="I97" s="70">
        <f t="shared" si="110"/>
        <v>3012.2203847754945</v>
      </c>
      <c r="J97" s="70">
        <f t="shared" si="110"/>
        <v>3059.579002380557</v>
      </c>
      <c r="K97" s="70">
        <f t="shared" si="110"/>
        <v>3110.1984125423255</v>
      </c>
      <c r="L97" s="70">
        <f t="shared" si="110"/>
        <v>3164.9805021158045</v>
      </c>
      <c r="M97" s="70">
        <f t="shared" si="110"/>
        <v>3223.9385980986754</v>
      </c>
      <c r="N97" s="70">
        <f t="shared" si="110"/>
        <v>3288.4173700606416</v>
      </c>
      <c r="O97" s="70">
        <f aca="true" t="shared" si="111" ref="O97:AB97">Z94/(Z92-$O$4)*Y93/O93</f>
        <v>3354.185717461869</v>
      </c>
      <c r="P97" s="70">
        <f t="shared" si="111"/>
        <v>3421.2694318110853</v>
      </c>
      <c r="Q97" s="70">
        <f t="shared" si="111"/>
        <v>3489.69482044731</v>
      </c>
      <c r="R97" s="70">
        <f t="shared" si="111"/>
        <v>0</v>
      </c>
      <c r="S97" s="70">
        <f t="shared" si="111"/>
        <v>0</v>
      </c>
      <c r="T97" s="2">
        <f t="shared" si="111"/>
        <v>0</v>
      </c>
      <c r="U97" s="2">
        <f t="shared" si="111"/>
        <v>0</v>
      </c>
      <c r="V97" s="2">
        <f t="shared" si="111"/>
        <v>0</v>
      </c>
      <c r="W97" s="2">
        <f t="shared" si="111"/>
        <v>0</v>
      </c>
      <c r="X97" s="2">
        <f t="shared" si="111"/>
        <v>0</v>
      </c>
      <c r="Y97" s="2">
        <f t="shared" si="111"/>
        <v>0</v>
      </c>
      <c r="Z97" s="2">
        <f t="shared" si="111"/>
        <v>0</v>
      </c>
      <c r="AA97" s="2">
        <f t="shared" si="111"/>
        <v>0</v>
      </c>
      <c r="AB97" s="2">
        <f t="shared" si="111"/>
        <v>0</v>
      </c>
    </row>
    <row r="98" spans="1:28" ht="10.5" customHeight="1">
      <c r="A98" s="119">
        <v>49</v>
      </c>
      <c r="B98" s="133"/>
      <c r="C98" s="151" t="s">
        <v>71</v>
      </c>
      <c r="D98" s="103">
        <f aca="true" t="shared" si="112" ref="D98:M98">D96+D97</f>
        <v>4250.123886550097</v>
      </c>
      <c r="E98" s="103">
        <f t="shared" si="112"/>
        <v>4404.455284112713</v>
      </c>
      <c r="F98" s="103">
        <f t="shared" si="112"/>
        <v>5145.9851702510805</v>
      </c>
      <c r="G98" s="103">
        <f t="shared" si="112"/>
        <v>5398.935805914185</v>
      </c>
      <c r="H98" s="103">
        <f t="shared" si="112"/>
        <v>5416.157900058286</v>
      </c>
      <c r="I98" s="103">
        <f t="shared" si="112"/>
        <v>5476.244426863652</v>
      </c>
      <c r="J98" s="103">
        <f t="shared" si="112"/>
        <v>5725.378914135108</v>
      </c>
      <c r="K98" s="103">
        <f t="shared" si="112"/>
        <v>5867.993774235534</v>
      </c>
      <c r="L98" s="103">
        <f t="shared" si="112"/>
        <v>6006.505201465206</v>
      </c>
      <c r="M98" s="103">
        <f t="shared" si="112"/>
        <v>6118.340800000004</v>
      </c>
      <c r="N98" s="103">
        <f aca="true" t="shared" si="113" ref="N98:AB98">N96+N97</f>
        <v>6240.707615999996</v>
      </c>
      <c r="O98" s="72">
        <f t="shared" si="113"/>
        <v>6365.52176832001</v>
      </c>
      <c r="P98" s="72">
        <f t="shared" si="113"/>
        <v>6492.83220368639</v>
      </c>
      <c r="Q98" s="72">
        <f t="shared" si="113"/>
        <v>6622.688847760121</v>
      </c>
      <c r="R98" s="72">
        <f t="shared" si="113"/>
        <v>3195.6539078590645</v>
      </c>
      <c r="S98" s="72">
        <f t="shared" si="113"/>
        <v>3019.3407477940427</v>
      </c>
      <c r="T98" s="21">
        <f t="shared" si="113"/>
        <v>2818.4841776366475</v>
      </c>
      <c r="U98" s="21">
        <f t="shared" si="113"/>
        <v>2590.754560586272</v>
      </c>
      <c r="V98" s="21">
        <f t="shared" si="113"/>
        <v>2333.6147951298444</v>
      </c>
      <c r="W98" s="21">
        <f t="shared" si="113"/>
        <v>2044.302091223559</v>
      </c>
      <c r="X98" s="21">
        <f t="shared" si="113"/>
        <v>1719.808150632591</v>
      </c>
      <c r="Y98" s="21">
        <f t="shared" si="113"/>
        <v>1356.8576117810323</v>
      </c>
      <c r="Z98" s="21">
        <f t="shared" si="113"/>
        <v>951.884607246074</v>
      </c>
      <c r="AA98" s="21">
        <f t="shared" si="113"/>
        <v>501.0072687432725</v>
      </c>
      <c r="AB98" s="21">
        <f t="shared" si="113"/>
        <v>0</v>
      </c>
    </row>
    <row r="99" spans="1:28" s="107" customFormat="1" ht="10.5" customHeight="1" thickBot="1">
      <c r="A99" s="167">
        <v>50</v>
      </c>
      <c r="B99" s="107" t="s">
        <v>59</v>
      </c>
      <c r="C99" s="169" t="s">
        <v>72</v>
      </c>
      <c r="D99" s="176">
        <f>D98-D73</f>
        <v>2450.123886550098</v>
      </c>
      <c r="E99" s="108">
        <f>E98-E73</f>
        <v>2604.4552841127143</v>
      </c>
      <c r="F99" s="108">
        <f>F98-F73</f>
        <v>2845.9851702510814</v>
      </c>
      <c r="G99" s="108">
        <f>G98-G73</f>
        <v>3098.935805914186</v>
      </c>
      <c r="H99" s="108">
        <f>H98-H73</f>
        <v>3416.157900058287</v>
      </c>
      <c r="I99" s="108">
        <f>I98-I73</f>
        <v>3676.2444268636527</v>
      </c>
      <c r="J99" s="108">
        <f>J98-J73</f>
        <v>4025.378914135109</v>
      </c>
      <c r="K99" s="108">
        <f>K98-K73</f>
        <v>4367.993774235535</v>
      </c>
      <c r="L99" s="108">
        <f>L98-L73</f>
        <v>4706.5052014652065</v>
      </c>
      <c r="M99" s="108">
        <f>M98-M73</f>
        <v>5118.3408000000045</v>
      </c>
      <c r="N99" s="108">
        <f>N98-N73</f>
        <v>5220.707615999997</v>
      </c>
      <c r="O99" s="108">
        <f>O98-O73</f>
        <v>5325.12176832001</v>
      </c>
      <c r="P99" s="108">
        <f>P98-P73</f>
        <v>5431.624203686391</v>
      </c>
      <c r="Q99" s="114">
        <f>Q98-Q73</f>
        <v>5540.25668776012</v>
      </c>
      <c r="R99" s="114">
        <f>R98-R73</f>
        <v>2091.5731046590645</v>
      </c>
      <c r="S99" s="114">
        <f>S98-S73</f>
        <v>1893.1783285300428</v>
      </c>
      <c r="T99" s="115">
        <f>T98-T73</f>
        <v>1669.7985099873674</v>
      </c>
      <c r="U99" s="115">
        <f>U98-U73</f>
        <v>1419.0951795840062</v>
      </c>
      <c r="V99" s="115">
        <f>V98-V73</f>
        <v>1138.5222265075333</v>
      </c>
      <c r="W99" s="115">
        <f>W98-W73</f>
        <v>825.3076712288016</v>
      </c>
      <c r="X99" s="115">
        <f>X98-X73</f>
        <v>476.4338422379383</v>
      </c>
      <c r="Y99" s="115">
        <f>Y98-Y73</f>
        <v>88.61581721848665</v>
      </c>
      <c r="Z99" s="115">
        <f>Z98-Z73</f>
        <v>-341.7220232077227</v>
      </c>
      <c r="AA99" s="115">
        <f>AA98-AA73</f>
        <v>-818.4714943196002</v>
      </c>
      <c r="AB99" s="115">
        <f>AB98-AB73</f>
        <v>-1345.8683383241303</v>
      </c>
    </row>
    <row r="100" spans="1:28" s="7" customFormat="1" ht="13.5" customHeight="1">
      <c r="A100" s="119">
        <v>51</v>
      </c>
      <c r="B100" s="165"/>
      <c r="C100" s="166" t="s">
        <v>73</v>
      </c>
      <c r="D100" s="93">
        <f>(D73*D74+D107*D84)/(D107+D73)</f>
        <v>0.08920478736217659</v>
      </c>
      <c r="E100" s="93">
        <f>(E73*E74+E107*E84)/(E107+E73)</f>
        <v>0.08930273115886722</v>
      </c>
      <c r="F100" s="93">
        <f>(F73*F74+F107*F84)/(F107+F73)</f>
        <v>0.08905012752703692</v>
      </c>
      <c r="G100" s="93">
        <f>(G73*G74+G107*G84)/(G107+G73)</f>
        <v>0.08918833478564958</v>
      </c>
      <c r="H100" s="93">
        <f>(H73*H74+H107*H84)/(H107+H73)</f>
        <v>0.08956284801079048</v>
      </c>
      <c r="I100" s="93">
        <f>(I73*I74+I107*I84)/(I107+I73)</f>
        <v>0.0898306300679855</v>
      </c>
      <c r="J100" s="93">
        <f>(J73*J74+J107*J84)/(J107+J73)</f>
        <v>0.09004030437665891</v>
      </c>
      <c r="K100" s="93">
        <f>(K73*K74+K107*K84)/(K107+K73)</f>
        <v>0.09031288164560303</v>
      </c>
      <c r="L100" s="93">
        <f>(L73*L74+L107*L84)/(L107+L73)</f>
        <v>0.09057154872721879</v>
      </c>
      <c r="M100" s="93">
        <f>(M73*M74+M107*M84)/(M107+M73)</f>
        <v>0.09092127617343579</v>
      </c>
      <c r="N100" s="93">
        <f>(N73*N74+N107*N84)/(N107+N73)</f>
        <v>0.09092127617343579</v>
      </c>
      <c r="O100" s="93">
        <f>(O73*O74+O107*O84)/(O107+O73)</f>
        <v>0.09092127617343579</v>
      </c>
      <c r="P100" s="93">
        <f aca="true" t="shared" si="114" ref="P100:AB100">O100</f>
        <v>0.09092127617343579</v>
      </c>
      <c r="Q100" s="93">
        <f t="shared" si="114"/>
        <v>0.09092127617343579</v>
      </c>
      <c r="R100" s="93">
        <f t="shared" si="114"/>
        <v>0.09092127617343579</v>
      </c>
      <c r="S100" s="93">
        <f t="shared" si="114"/>
        <v>0.09092127617343579</v>
      </c>
      <c r="T100" s="93">
        <f t="shared" si="114"/>
        <v>0.09092127617343579</v>
      </c>
      <c r="U100" s="93">
        <f t="shared" si="114"/>
        <v>0.09092127617343579</v>
      </c>
      <c r="V100" s="93">
        <f t="shared" si="114"/>
        <v>0.09092127617343579</v>
      </c>
      <c r="W100" s="93">
        <f t="shared" si="114"/>
        <v>0.09092127617343579</v>
      </c>
      <c r="X100" s="93">
        <f t="shared" si="114"/>
        <v>0.09092127617343579</v>
      </c>
      <c r="Y100" s="93">
        <f t="shared" si="114"/>
        <v>0.09092127617343579</v>
      </c>
      <c r="Z100" s="93">
        <f t="shared" si="114"/>
        <v>0.09092127617343579</v>
      </c>
      <c r="AA100" s="93">
        <f t="shared" si="114"/>
        <v>0.09092127617343579</v>
      </c>
      <c r="AB100" s="93">
        <f t="shared" si="114"/>
        <v>0.09092127617343579</v>
      </c>
    </row>
    <row r="101" spans="1:28" ht="10.5" customHeight="1" hidden="1">
      <c r="A101" s="119"/>
      <c r="B101" s="133"/>
      <c r="C101" s="147" t="s">
        <v>69</v>
      </c>
      <c r="D101" s="100">
        <v>1</v>
      </c>
      <c r="E101" s="100">
        <f>1/(1+D100)</f>
        <v>0.9181009958850698</v>
      </c>
      <c r="F101" s="100">
        <f aca="true" t="shared" si="115" ref="F101:U101">E101/(1+E100)</f>
        <v>0.8428336491072023</v>
      </c>
      <c r="G101" s="100">
        <f t="shared" si="115"/>
        <v>0.7739163035783014</v>
      </c>
      <c r="H101" s="100">
        <f t="shared" si="115"/>
        <v>0.7105440619051497</v>
      </c>
      <c r="I101" s="100">
        <f t="shared" si="115"/>
        <v>0.6521368301079525</v>
      </c>
      <c r="J101" s="100">
        <f t="shared" si="115"/>
        <v>0.5983836498220565</v>
      </c>
      <c r="K101" s="100">
        <f t="shared" si="115"/>
        <v>0.5489555270749764</v>
      </c>
      <c r="L101" s="100">
        <f t="shared" si="115"/>
        <v>0.5034844000434452</v>
      </c>
      <c r="M101" s="100">
        <f t="shared" si="115"/>
        <v>0.4616702137801508</v>
      </c>
      <c r="N101" s="100">
        <f t="shared" si="115"/>
        <v>0.4231929689734587</v>
      </c>
      <c r="O101" s="100">
        <f t="shared" si="115"/>
        <v>0.38792255519836344</v>
      </c>
      <c r="P101" s="100">
        <f t="shared" si="115"/>
        <v>0.3555917037011671</v>
      </c>
      <c r="Q101" s="100">
        <f t="shared" si="115"/>
        <v>0.32595542086084933</v>
      </c>
      <c r="R101" s="100">
        <f t="shared" si="115"/>
        <v>0.2987891316999382</v>
      </c>
      <c r="S101" s="100">
        <f t="shared" si="115"/>
        <v>0.2738869781218168</v>
      </c>
      <c r="T101" s="11">
        <f t="shared" si="115"/>
        <v>0.25106025897901174</v>
      </c>
      <c r="U101" s="11">
        <f t="shared" si="115"/>
        <v>0.23013600015176341</v>
      </c>
      <c r="V101" s="11">
        <f aca="true" t="shared" si="116" ref="V101:AB101">U101/(1+U100)</f>
        <v>0.21095564380135545</v>
      </c>
      <c r="W101" s="11">
        <f t="shared" si="116"/>
        <v>0.1933738468657545</v>
      </c>
      <c r="X101" s="11">
        <f t="shared" si="116"/>
        <v>0.17725737969291538</v>
      </c>
      <c r="Y101" s="11">
        <f t="shared" si="116"/>
        <v>0.1624841164659207</v>
      </c>
      <c r="Z101" s="11">
        <f t="shared" si="116"/>
        <v>0.148942109769696</v>
      </c>
      <c r="AA101" s="11">
        <f t="shared" si="116"/>
        <v>0.13652874228664053</v>
      </c>
      <c r="AB101" s="11">
        <f t="shared" si="116"/>
        <v>0.12514994919297462</v>
      </c>
    </row>
    <row r="102" spans="1:28" ht="10.5" customHeight="1" hidden="1">
      <c r="A102" s="122">
        <v>28</v>
      </c>
      <c r="B102" s="39"/>
      <c r="C102" s="151" t="s">
        <v>31</v>
      </c>
      <c r="D102" s="102"/>
      <c r="E102" s="71">
        <f aca="true" t="shared" si="117" ref="E102:U102">E41</f>
        <v>224.79999999999984</v>
      </c>
      <c r="F102" s="71">
        <f t="shared" si="117"/>
        <v>-348.20000000000016</v>
      </c>
      <c r="G102" s="71">
        <f t="shared" si="117"/>
        <v>205.29999999999987</v>
      </c>
      <c r="H102" s="71">
        <f t="shared" si="117"/>
        <v>464.29999999999995</v>
      </c>
      <c r="I102" s="71">
        <f t="shared" si="117"/>
        <v>425</v>
      </c>
      <c r="J102" s="71">
        <f t="shared" si="117"/>
        <v>242.79999999999995</v>
      </c>
      <c r="K102" s="71">
        <f t="shared" si="117"/>
        <v>372.9</v>
      </c>
      <c r="L102" s="71">
        <f t="shared" si="117"/>
        <v>391.4440000000002</v>
      </c>
      <c r="M102" s="71">
        <f t="shared" si="117"/>
        <v>432.1828799999994</v>
      </c>
      <c r="N102" s="71">
        <f t="shared" si="117"/>
        <v>433.92053760000135</v>
      </c>
      <c r="O102" s="71">
        <f t="shared" si="117"/>
        <v>442.5989483519992</v>
      </c>
      <c r="P102" s="71">
        <f t="shared" si="117"/>
        <v>451.4509273190402</v>
      </c>
      <c r="Q102" s="71">
        <f t="shared" si="117"/>
        <v>460.4799458654206</v>
      </c>
      <c r="R102" s="71">
        <f t="shared" si="117"/>
        <v>469.6895447827298</v>
      </c>
      <c r="S102" s="71">
        <f t="shared" si="117"/>
        <v>479.08333567838383</v>
      </c>
      <c r="T102" s="71">
        <f t="shared" si="117"/>
        <v>488.665002391952</v>
      </c>
      <c r="U102" s="71">
        <f t="shared" si="117"/>
        <v>498.4383024397912</v>
      </c>
      <c r="V102" s="71">
        <f>U102*(1+$O4)</f>
        <v>508.407068488587</v>
      </c>
      <c r="W102" s="71">
        <f>V102*(1+$O4)</f>
        <v>518.5752098583588</v>
      </c>
      <c r="X102" s="71">
        <f>W102*(1+$O4)</f>
        <v>528.946714055526</v>
      </c>
      <c r="Y102" s="71">
        <f>X102*(1+$O4)</f>
        <v>539.5256483366364</v>
      </c>
      <c r="Z102" s="71">
        <f>Y102*(1+$O4)</f>
        <v>550.3161613033692</v>
      </c>
      <c r="AA102" s="71">
        <f>Z102*(1+$O4)</f>
        <v>561.3224845294366</v>
      </c>
      <c r="AB102" s="71">
        <f>AA102*(1+$O4)</f>
        <v>572.5489342200253</v>
      </c>
    </row>
    <row r="103" spans="1:28" ht="10.5" customHeight="1" hidden="1">
      <c r="A103" s="119"/>
      <c r="B103" s="133"/>
      <c r="C103" s="147" t="s">
        <v>70</v>
      </c>
      <c r="D103" s="70"/>
      <c r="E103" s="70">
        <f>E102*E101</f>
        <v>206.38910387496352</v>
      </c>
      <c r="F103" s="70">
        <f aca="true" t="shared" si="118" ref="F103:T103">F102*F101</f>
        <v>-293.474676619128</v>
      </c>
      <c r="G103" s="70">
        <f t="shared" si="118"/>
        <v>158.8850171246252</v>
      </c>
      <c r="H103" s="70">
        <f t="shared" si="118"/>
        <v>329.905607942561</v>
      </c>
      <c r="I103" s="70">
        <f t="shared" si="118"/>
        <v>277.1581527958798</v>
      </c>
      <c r="J103" s="70">
        <f t="shared" si="118"/>
        <v>145.2875501767953</v>
      </c>
      <c r="K103" s="70">
        <f t="shared" si="118"/>
        <v>204.70551604625868</v>
      </c>
      <c r="L103" s="70">
        <f t="shared" si="118"/>
        <v>197.08594749060646</v>
      </c>
      <c r="M103" s="70">
        <f t="shared" si="118"/>
        <v>199.52596260172098</v>
      </c>
      <c r="N103" s="70">
        <f t="shared" si="118"/>
        <v>183.6321206055039</v>
      </c>
      <c r="O103" s="70">
        <f t="shared" si="118"/>
        <v>171.694114972816</v>
      </c>
      <c r="P103" s="70">
        <f t="shared" si="118"/>
        <v>160.53220438284927</v>
      </c>
      <c r="Q103" s="70">
        <f t="shared" si="118"/>
        <v>150.0959345525443</v>
      </c>
      <c r="R103" s="70">
        <f t="shared" si="118"/>
        <v>140.3381312541711</v>
      </c>
      <c r="S103" s="70">
        <f t="shared" si="118"/>
        <v>131.21468707747252</v>
      </c>
      <c r="T103" s="2">
        <f t="shared" si="118"/>
        <v>122.68436205450286</v>
      </c>
      <c r="U103" s="2">
        <f aca="true" t="shared" si="119" ref="U103:AB103">U102*U101</f>
        <v>114.70859724592849</v>
      </c>
      <c r="V103" s="2">
        <f t="shared" si="119"/>
        <v>107.25134044616969</v>
      </c>
      <c r="W103" s="2">
        <f t="shared" si="119"/>
        <v>100.27888321952678</v>
      </c>
      <c r="X103" s="2">
        <f t="shared" si="119"/>
        <v>93.7597085306603</v>
      </c>
      <c r="Y103" s="2">
        <f t="shared" si="119"/>
        <v>87.66434828068141</v>
      </c>
      <c r="Z103" s="2">
        <f t="shared" si="119"/>
        <v>81.96525010488413</v>
      </c>
      <c r="AA103" s="2">
        <f t="shared" si="119"/>
        <v>76.6366528300162</v>
      </c>
      <c r="AB103" s="2">
        <f t="shared" si="119"/>
        <v>71.65447002812793</v>
      </c>
    </row>
    <row r="104" spans="1:28" ht="10.5" customHeight="1" hidden="1">
      <c r="A104" s="119"/>
      <c r="B104" s="133"/>
      <c r="C104" s="147" t="s">
        <v>52</v>
      </c>
      <c r="D104" s="70">
        <f>SUM(E103:N103)</f>
        <v>1609.1003020397868</v>
      </c>
      <c r="E104" s="70">
        <f aca="true" t="shared" si="120" ref="E104:T104">SUM(F103:O103)/E101</f>
        <v>1714.8498043179636</v>
      </c>
      <c r="F104" s="70">
        <f t="shared" si="120"/>
        <v>2406.657821846903</v>
      </c>
      <c r="G104" s="70">
        <f t="shared" si="120"/>
        <v>2609.614375908026</v>
      </c>
      <c r="H104" s="70">
        <f t="shared" si="120"/>
        <v>2575.569529034273</v>
      </c>
      <c r="I104" s="70">
        <f t="shared" si="120"/>
        <v>2582.4521655707686</v>
      </c>
      <c r="J104" s="70">
        <f t="shared" si="120"/>
        <v>2776.661731202941</v>
      </c>
      <c r="K104" s="70">
        <f t="shared" si="120"/>
        <v>2862.7311043057925</v>
      </c>
      <c r="L104" s="70">
        <f t="shared" si="120"/>
        <v>2942.846799356299</v>
      </c>
      <c r="M104" s="70">
        <f t="shared" si="120"/>
        <v>2994.41102013526</v>
      </c>
      <c r="N104" s="70">
        <f t="shared" si="120"/>
        <v>3054.2992405379637</v>
      </c>
      <c r="O104" s="70">
        <f t="shared" si="120"/>
        <v>3115.3852253487257</v>
      </c>
      <c r="P104" s="70">
        <f t="shared" si="120"/>
        <v>3177.692929855699</v>
      </c>
      <c r="Q104" s="70">
        <f t="shared" si="120"/>
        <v>3241.246788452815</v>
      </c>
      <c r="R104" s="70">
        <f t="shared" si="120"/>
        <v>3306.07172422187</v>
      </c>
      <c r="S104" s="70">
        <f t="shared" si="120"/>
        <v>3127.5806488306507</v>
      </c>
      <c r="T104" s="2">
        <f t="shared" si="120"/>
        <v>2923.2792703657233</v>
      </c>
      <c r="U104" s="2">
        <f aca="true" t="shared" si="121" ref="U104:AB104">SUM(V103:AE103)/U101</f>
        <v>2690.6292497989334</v>
      </c>
      <c r="V104" s="2">
        <f t="shared" si="121"/>
        <v>2426.8576264116396</v>
      </c>
      <c r="W104" s="2">
        <f t="shared" si="121"/>
        <v>2128.935409037862</v>
      </c>
      <c r="X104" s="2">
        <f t="shared" si="121"/>
        <v>1793.554219262874</v>
      </c>
      <c r="Y104" s="2">
        <f t="shared" si="121"/>
        <v>1417.1008094278686</v>
      </c>
      <c r="Z104" s="2">
        <f t="shared" si="121"/>
        <v>995.62926218409</v>
      </c>
      <c r="AA104" s="2">
        <f t="shared" si="121"/>
        <v>524.8306607680469</v>
      </c>
      <c r="AB104" s="2">
        <f t="shared" si="121"/>
        <v>0</v>
      </c>
    </row>
    <row r="105" spans="1:28" ht="10.5" customHeight="1" hidden="1">
      <c r="A105" s="119"/>
      <c r="B105" s="133"/>
      <c r="C105" s="147" t="s">
        <v>46</v>
      </c>
      <c r="D105" s="70">
        <f>O102/(O100-$O$4)*N101</f>
        <v>2641.0235845103102</v>
      </c>
      <c r="E105" s="70">
        <f>P102/(P100-$O$4)*O101/E101</f>
        <v>2689.6054797947495</v>
      </c>
      <c r="F105" s="70">
        <f>Q102/(Q100-$O$4)*P101/F101</f>
        <v>2739.327348404177</v>
      </c>
      <c r="G105" s="70">
        <f aca="true" t="shared" si="122" ref="G105:T105">R102/(R100-$O$4)*Q101/G101</f>
        <v>2789.321430006159</v>
      </c>
      <c r="H105" s="70">
        <f t="shared" si="122"/>
        <v>2840.588371024013</v>
      </c>
      <c r="I105" s="70">
        <f t="shared" si="122"/>
        <v>2893.792261292883</v>
      </c>
      <c r="J105" s="70">
        <f t="shared" si="122"/>
        <v>2948.7171829321665</v>
      </c>
      <c r="K105" s="70">
        <f t="shared" si="122"/>
        <v>3005.2626699297452</v>
      </c>
      <c r="L105" s="70">
        <f t="shared" si="122"/>
        <v>3063.65840210891</v>
      </c>
      <c r="M105" s="70">
        <f t="shared" si="122"/>
        <v>3123.9297798647485</v>
      </c>
      <c r="N105" s="70">
        <f t="shared" si="122"/>
        <v>3186.4083754620433</v>
      </c>
      <c r="O105" s="70">
        <f t="shared" si="122"/>
        <v>3250.136542971284</v>
      </c>
      <c r="P105" s="70">
        <f t="shared" si="122"/>
        <v>3315.13927383071</v>
      </c>
      <c r="Q105" s="70">
        <f t="shared" si="122"/>
        <v>3381.442059307325</v>
      </c>
      <c r="R105" s="70">
        <f t="shared" si="122"/>
        <v>0</v>
      </c>
      <c r="S105" s="70">
        <f t="shared" si="122"/>
        <v>0</v>
      </c>
      <c r="T105" s="2">
        <f t="shared" si="122"/>
        <v>0</v>
      </c>
      <c r="U105" s="2">
        <f aca="true" t="shared" si="123" ref="U105:AB105">AF102/(AF100-$O$4)*AE101/U101</f>
        <v>0</v>
      </c>
      <c r="V105" s="2">
        <f t="shared" si="123"/>
        <v>0</v>
      </c>
      <c r="W105" s="2">
        <f t="shared" si="123"/>
        <v>0</v>
      </c>
      <c r="X105" s="2">
        <f t="shared" si="123"/>
        <v>0</v>
      </c>
      <c r="Y105" s="2">
        <f t="shared" si="123"/>
        <v>0</v>
      </c>
      <c r="Z105" s="2">
        <f t="shared" si="123"/>
        <v>0</v>
      </c>
      <c r="AA105" s="2">
        <f t="shared" si="123"/>
        <v>0</v>
      </c>
      <c r="AB105" s="2">
        <f t="shared" si="123"/>
        <v>0</v>
      </c>
    </row>
    <row r="106" spans="1:28" ht="14.25" customHeight="1">
      <c r="A106" s="119">
        <v>52</v>
      </c>
      <c r="B106" s="133"/>
      <c r="C106" s="151" t="s">
        <v>74</v>
      </c>
      <c r="D106" s="103">
        <f aca="true" t="shared" si="124" ref="D106:S106">D104+D105</f>
        <v>4250.123886550097</v>
      </c>
      <c r="E106" s="103">
        <f t="shared" si="124"/>
        <v>4404.455284112713</v>
      </c>
      <c r="F106" s="103">
        <f t="shared" si="124"/>
        <v>5145.9851702510805</v>
      </c>
      <c r="G106" s="103">
        <f t="shared" si="124"/>
        <v>5398.935805914185</v>
      </c>
      <c r="H106" s="103">
        <f t="shared" si="124"/>
        <v>5416.157900058286</v>
      </c>
      <c r="I106" s="103">
        <f t="shared" si="124"/>
        <v>5476.244426863652</v>
      </c>
      <c r="J106" s="103">
        <f t="shared" si="124"/>
        <v>5725.378914135108</v>
      </c>
      <c r="K106" s="103">
        <f t="shared" si="124"/>
        <v>5867.993774235538</v>
      </c>
      <c r="L106" s="103">
        <f t="shared" si="124"/>
        <v>6006.505201465209</v>
      </c>
      <c r="M106" s="103">
        <f t="shared" si="124"/>
        <v>6118.340800000009</v>
      </c>
      <c r="N106" s="103">
        <f t="shared" si="124"/>
        <v>6240.707616000007</v>
      </c>
      <c r="O106" s="72">
        <f t="shared" si="124"/>
        <v>6365.52176832001</v>
      </c>
      <c r="P106" s="72">
        <f t="shared" si="124"/>
        <v>6492.832203686408</v>
      </c>
      <c r="Q106" s="72">
        <f t="shared" si="124"/>
        <v>6622.688847760141</v>
      </c>
      <c r="R106" s="72">
        <f t="shared" si="124"/>
        <v>3306.07172422187</v>
      </c>
      <c r="S106" s="72">
        <f t="shared" si="124"/>
        <v>3127.5806488306507</v>
      </c>
      <c r="T106" s="21">
        <f aca="true" t="shared" si="125" ref="T106:AB106">T104+T105</f>
        <v>2923.2792703657233</v>
      </c>
      <c r="U106" s="21">
        <f t="shared" si="125"/>
        <v>2690.6292497989334</v>
      </c>
      <c r="V106" s="21">
        <f t="shared" si="125"/>
        <v>2426.8576264116396</v>
      </c>
      <c r="W106" s="21">
        <f t="shared" si="125"/>
        <v>2128.935409037862</v>
      </c>
      <c r="X106" s="21">
        <f t="shared" si="125"/>
        <v>1793.554219262874</v>
      </c>
      <c r="Y106" s="21">
        <f t="shared" si="125"/>
        <v>1417.1008094278686</v>
      </c>
      <c r="Z106" s="21">
        <f t="shared" si="125"/>
        <v>995.62926218409</v>
      </c>
      <c r="AA106" s="21">
        <f t="shared" si="125"/>
        <v>524.8306607680469</v>
      </c>
      <c r="AB106" s="21">
        <f t="shared" si="125"/>
        <v>0</v>
      </c>
    </row>
    <row r="107" spans="1:28" s="107" customFormat="1" ht="10.5" customHeight="1" thickBot="1">
      <c r="A107" s="167">
        <v>53</v>
      </c>
      <c r="B107" s="107" t="s">
        <v>59</v>
      </c>
      <c r="C107" s="169" t="s">
        <v>75</v>
      </c>
      <c r="D107" s="176">
        <f>D106-D73</f>
        <v>2450.123886550098</v>
      </c>
      <c r="E107" s="176">
        <f>E106-E73</f>
        <v>2604.4552841127143</v>
      </c>
      <c r="F107" s="176">
        <f>F106-F73</f>
        <v>2845.9851702510814</v>
      </c>
      <c r="G107" s="176">
        <f>G106-G73</f>
        <v>3098.935805914186</v>
      </c>
      <c r="H107" s="176">
        <f>H106-H73</f>
        <v>3416.157900058287</v>
      </c>
      <c r="I107" s="176">
        <f>I106-I73</f>
        <v>3676.2444268636527</v>
      </c>
      <c r="J107" s="176">
        <f>J106-J73</f>
        <v>4025.378914135109</v>
      </c>
      <c r="K107" s="176">
        <f>K106-K73</f>
        <v>4367.993774235539</v>
      </c>
      <c r="L107" s="176">
        <f>L106-L73</f>
        <v>4706.50520146521</v>
      </c>
      <c r="M107" s="176">
        <f>M106-M73</f>
        <v>5118.34080000001</v>
      </c>
      <c r="N107" s="176">
        <f>N106-N73</f>
        <v>5220.707616000008</v>
      </c>
      <c r="O107" s="176">
        <f>O106-O73</f>
        <v>5325.12176832001</v>
      </c>
      <c r="P107" s="176">
        <f>P106-P73</f>
        <v>5431.62420368641</v>
      </c>
      <c r="Q107" s="108">
        <f>Q106-Q15</f>
        <v>5540.25668776014</v>
      </c>
      <c r="R107" s="108">
        <f>R106-R15</f>
        <v>2201.9909210218702</v>
      </c>
      <c r="S107" s="108">
        <f>S106-S15</f>
        <v>2001.4182295666508</v>
      </c>
      <c r="T107" s="108">
        <f>T106-T15</f>
        <v>1774.5936027164432</v>
      </c>
      <c r="U107" s="108">
        <f>U106-U15</f>
        <v>1518.9698687966677</v>
      </c>
      <c r="V107" s="108">
        <f>V106-V15</f>
        <v>1231.7650577893285</v>
      </c>
      <c r="W107" s="108">
        <f>W106-W15</f>
        <v>909.9409890431045</v>
      </c>
      <c r="X107" s="108">
        <f>X106-X15</f>
        <v>550.1799108682214</v>
      </c>
      <c r="Y107" s="108">
        <f>Y106-Y15</f>
        <v>148.85901486532293</v>
      </c>
      <c r="Z107" s="108">
        <f>Z106-Z15</f>
        <v>-297.97736826970674</v>
      </c>
      <c r="AA107" s="108">
        <f>AA106-AA15</f>
        <v>-794.6481022948259</v>
      </c>
      <c r="AB107" s="108">
        <f>AB106-AB15</f>
        <v>-1345.8683383241303</v>
      </c>
    </row>
    <row r="108" spans="1:28" ht="10.5">
      <c r="A108" s="19"/>
      <c r="D108" s="70"/>
      <c r="E108" s="70"/>
      <c r="F108" s="70"/>
      <c r="G108" s="70"/>
      <c r="H108" s="70"/>
      <c r="I108" s="70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0.5">
      <c r="A109" s="19"/>
      <c r="D109" s="70"/>
      <c r="E109" s="70"/>
      <c r="F109" s="70"/>
      <c r="G109" s="70"/>
      <c r="H109" s="70"/>
      <c r="I109" s="70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0.5">
      <c r="A110" s="19"/>
      <c r="D110" s="70"/>
      <c r="E110" s="70"/>
      <c r="F110" s="70"/>
      <c r="G110" s="70"/>
      <c r="H110" s="70"/>
      <c r="I110" s="70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0.5">
      <c r="A111" s="19"/>
      <c r="D111" s="70"/>
      <c r="E111" s="70"/>
      <c r="F111" s="70"/>
      <c r="G111" s="70"/>
      <c r="H111" s="70"/>
      <c r="I111" s="70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0.5">
      <c r="A112" s="19"/>
      <c r="D112" s="70"/>
      <c r="E112" s="70"/>
      <c r="F112" s="70"/>
      <c r="G112" s="70"/>
      <c r="H112" s="70"/>
      <c r="I112" s="70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0.5">
      <c r="A113" s="19"/>
      <c r="D113" s="70"/>
      <c r="E113" s="70"/>
      <c r="F113" s="70"/>
      <c r="G113" s="70"/>
      <c r="H113" s="70"/>
      <c r="I113" s="70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0.5">
      <c r="A114" s="19"/>
      <c r="D114" s="70"/>
      <c r="E114" s="70"/>
      <c r="F114" s="70"/>
      <c r="G114" s="70"/>
      <c r="H114" s="70"/>
      <c r="I114" s="70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0.5">
      <c r="A115" s="19"/>
      <c r="D115" s="70"/>
      <c r="E115" s="70"/>
      <c r="F115" s="70"/>
      <c r="G115" s="70"/>
      <c r="H115" s="70"/>
      <c r="I115" s="70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4"/>
      <c r="U115" s="4"/>
      <c r="V115" s="4"/>
      <c r="W115" s="4"/>
      <c r="X115" s="4"/>
      <c r="Y115" s="4"/>
      <c r="Z115" s="4"/>
      <c r="AA115" s="4"/>
      <c r="AB115" s="4"/>
    </row>
    <row r="116" spans="4:19" ht="10.5" customHeight="1">
      <c r="D116" s="68"/>
      <c r="E116" s="68"/>
      <c r="F116" s="68"/>
      <c r="G116" s="68"/>
      <c r="H116" s="68"/>
      <c r="I116" s="68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4:19" ht="10.5" customHeight="1">
      <c r="D117" s="68"/>
      <c r="E117" s="68"/>
      <c r="F117" s="68"/>
      <c r="G117" s="68"/>
      <c r="H117" s="68"/>
      <c r="I117" s="68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4:19" ht="10.5" customHeight="1">
      <c r="D118" s="68"/>
      <c r="E118" s="68"/>
      <c r="F118" s="68"/>
      <c r="G118" s="68"/>
      <c r="H118" s="68"/>
      <c r="I118" s="68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4:19" ht="10.5" customHeight="1">
      <c r="D119" s="68"/>
      <c r="E119" s="68"/>
      <c r="F119" s="68"/>
      <c r="G119" s="68"/>
      <c r="H119" s="68"/>
      <c r="I119" s="68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4:19" ht="10.5" customHeight="1">
      <c r="D120" s="68"/>
      <c r="E120" s="68"/>
      <c r="F120" s="68"/>
      <c r="G120" s="68"/>
      <c r="H120" s="68"/>
      <c r="I120" s="68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4:19" ht="10.5" customHeight="1">
      <c r="D121" s="68"/>
      <c r="E121" s="68"/>
      <c r="F121" s="68"/>
      <c r="G121" s="68"/>
      <c r="H121" s="68"/>
      <c r="I121" s="68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4:19" ht="12" customHeight="1">
      <c r="D122" s="68"/>
      <c r="E122" s="68"/>
      <c r="F122" s="68"/>
      <c r="G122" s="68"/>
      <c r="H122" s="68"/>
      <c r="I122" s="68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4:19" ht="12" customHeight="1">
      <c r="D123" s="68"/>
      <c r="E123" s="68"/>
      <c r="F123" s="68"/>
      <c r="G123" s="68"/>
      <c r="H123" s="68"/>
      <c r="I123" s="68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4:19" ht="12" customHeight="1">
      <c r="D124" s="68"/>
      <c r="E124" s="68"/>
      <c r="F124" s="68"/>
      <c r="G124" s="68"/>
      <c r="H124" s="68"/>
      <c r="I124" s="68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4:19" ht="10.5">
      <c r="D125" s="68"/>
      <c r="E125" s="68"/>
      <c r="F125" s="68"/>
      <c r="G125" s="68"/>
      <c r="H125" s="68"/>
      <c r="I125" s="68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</sheetData>
  <printOptions/>
  <pageMargins left="0.7499999999999608" right="0.39566929133858264" top="1" bottom="1" header="0.5" footer="0.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2003-11-24T14:30:05Z</dcterms:created>
  <dcterms:modified xsi:type="dcterms:W3CDTF">2004-03-02T09:27:52Z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-2059631927</vt:i4>
  </property>
  <property fmtid="{D5CDD505-2E9C-101B-9397-08002B2CF9AE}" pid="3" name="_EmailSubject">
    <vt:lpwstr>Cambiar estas tablas cap 25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