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1.13" sheetId="1" r:id="rId1"/>
  </sheets>
  <definedNames>
    <definedName name="_xlnm.Print_Area" localSheetId="0">'21.13'!$A$1:$P$66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<sst xmlns="http://schemas.openxmlformats.org/spreadsheetml/2006/main" count="66" uniqueCount="58">
  <si>
    <t>Fórmulas para valorar empresas</t>
  </si>
  <si>
    <t>Crecimiento = 4% tras año 3</t>
  </si>
  <si>
    <t>D =</t>
  </si>
  <si>
    <t xml:space="preserve">CRECIMIENTO = </t>
  </si>
  <si>
    <t>imp =</t>
  </si>
  <si>
    <t>G=</t>
  </si>
  <si>
    <t>Activo fijo bruto</t>
  </si>
  <si>
    <t xml:space="preserve"> - amort acumulada</t>
  </si>
  <si>
    <t>Activo fijo neto</t>
  </si>
  <si>
    <t>Deuda</t>
  </si>
  <si>
    <t>Capital (valor contable)</t>
  </si>
  <si>
    <t>TOTAL PASIVO</t>
  </si>
  <si>
    <t>NOF</t>
  </si>
  <si>
    <t>Amortización</t>
  </si>
  <si>
    <t>Margen</t>
  </si>
  <si>
    <t>Intereses</t>
  </si>
  <si>
    <t>BAT</t>
  </si>
  <si>
    <t>Impuestos</t>
  </si>
  <si>
    <t>BDT</t>
  </si>
  <si>
    <t>Flujo de fondos (millones)</t>
  </si>
  <si>
    <t xml:space="preserve"> + Amortización</t>
  </si>
  <si>
    <t xml:space="preserve"> + ∆ Deuda</t>
  </si>
  <si>
    <t xml:space="preserve"> - ∆ NOF</t>
  </si>
  <si>
    <t xml:space="preserve"> - Inversiones</t>
  </si>
  <si>
    <t>CF acciones = Dividendos</t>
  </si>
  <si>
    <t>FCF</t>
  </si>
  <si>
    <t>VM / VC acciones</t>
  </si>
  <si>
    <t>PER (bfo año siguiente)</t>
  </si>
  <si>
    <t>Beta U</t>
  </si>
  <si>
    <t>Rf</t>
  </si>
  <si>
    <t>Rm - Rf</t>
  </si>
  <si>
    <t>Ku</t>
  </si>
  <si>
    <t>VAN (Ku;FCF) 1-10</t>
  </si>
  <si>
    <t>VAN 11-</t>
  </si>
  <si>
    <t>Vu = VAN (Ku;FCF)</t>
  </si>
  <si>
    <t>VAN 1-10</t>
  </si>
  <si>
    <t>D</t>
  </si>
  <si>
    <t>Kd</t>
  </si>
  <si>
    <t>Beta d</t>
  </si>
  <si>
    <t>D T Ku</t>
  </si>
  <si>
    <t xml:space="preserve"> - D =</t>
  </si>
  <si>
    <t>Beta E</t>
  </si>
  <si>
    <t>Ke</t>
  </si>
  <si>
    <t>1  /  [(1+Ke1)x(1+Ke2)..]</t>
  </si>
  <si>
    <t>VANo  CFacc t</t>
  </si>
  <si>
    <t>E 2 = VAN(Ke;CFacc)</t>
  </si>
  <si>
    <t>Et = Et-1 * (1+Ke) - CFacc</t>
  </si>
  <si>
    <t>WACC</t>
  </si>
  <si>
    <t>1  /  [(1+wacc1)x(1+wacc2)..]</t>
  </si>
  <si>
    <t>VANo  FCF t</t>
  </si>
  <si>
    <t>D + E =</t>
  </si>
  <si>
    <t>VAN(WACC;FCF)</t>
  </si>
  <si>
    <t>E 3</t>
  </si>
  <si>
    <t>TOTAL ACTIVO</t>
  </si>
  <si>
    <t>VTS + Vu</t>
  </si>
  <si>
    <t>VAN(Ku;DTKu) = VTS</t>
  </si>
  <si>
    <t>EBITDA</t>
  </si>
  <si>
    <t>E  = Vu + VTS - 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</si>
</sst>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00"/>
    <numFmt numFmtId="181" formatCode="0.0000%"/>
    <numFmt numFmtId="182" formatCode="0.0000"/>
    <numFmt numFmtId="183" formatCode="0.0000000"/>
    <numFmt numFmtId="184" formatCode="0.000%"/>
    <numFmt numFmtId="185" formatCode="#,##0.0"/>
    <numFmt numFmtId="186" formatCode="_-* #,##0&quot;Pts&quot;_-;\-* #,##0&quot;Pts&quot;_-;_-* &quot;-&quot;&quot;Pts&quot;_-;_-@_-"/>
    <numFmt numFmtId="187" formatCode="_-* #,##0_P_t_s_-;\-* #,##0_P_t_s_-;_-* &quot;-&quot;_P_t_s_-;_-@_-"/>
    <numFmt numFmtId="188" formatCode="_-* #,##0.00&quot;Pts&quot;_-;\-* #,##0.00&quot;Pts&quot;_-;_-* &quot;-&quot;??&quot;Pts&quot;_-;_-@_-"/>
    <numFmt numFmtId="189" formatCode="_-* #,##0.00_P_t_s_-;\-* #,##0.00_P_t_s_-;_-* &quot;-&quot;??_P_t_s_-;_-@_-"/>
    <numFmt numFmtId="190" formatCode="0.00000"/>
    <numFmt numFmtId="191" formatCode="0.000"/>
  </numFmts>
  <fonts count="14">
    <font>
      <sz val="9"/>
      <color indexed="8"/>
      <name val="Tms Rmn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sz val="10"/>
      <color indexed="8"/>
      <name val="Geneva"/>
      <family val="0"/>
    </font>
    <font>
      <b/>
      <i/>
      <sz val="9"/>
      <color indexed="8"/>
      <name val="Tms Rmn"/>
      <family val="0"/>
    </font>
    <font>
      <i/>
      <sz val="9"/>
      <color indexed="8"/>
      <name val="Tms Rmn"/>
      <family val="0"/>
    </font>
    <font>
      <b/>
      <sz val="9"/>
      <color indexed="8"/>
      <name val="Tms Rmn"/>
      <family val="0"/>
    </font>
    <font>
      <b/>
      <sz val="10"/>
      <color indexed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0"/>
      <color indexed="8"/>
      <name val="Tms Rmn"/>
      <family val="0"/>
    </font>
    <font>
      <b/>
      <sz val="8"/>
      <color indexed="8"/>
      <name val="Tms Rmn"/>
      <family val="0"/>
    </font>
    <font>
      <sz val="8"/>
      <color indexed="8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185" fontId="0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1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10" fontId="5" fillId="0" borderId="5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 horizontal="left"/>
    </xf>
    <xf numFmtId="3" fontId="8" fillId="0" borderId="6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0" fontId="12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18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0" fontId="12" fillId="0" borderId="0" xfId="0" applyNumberFormat="1" applyFont="1" applyAlignment="1">
      <alignment horizontal="left"/>
    </xf>
    <xf numFmtId="3" fontId="8" fillId="0" borderId="7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85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3" fontId="12" fillId="0" borderId="2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0" fontId="7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tabSelected="1" workbookViewId="0" topLeftCell="A1">
      <pane xSplit="10155" ySplit="3360" topLeftCell="AB43" activePane="bottomLeft" state="split"/>
      <selection pane="topLeft" activeCell="D1" sqref="D1:J16384"/>
      <selection pane="topRight" activeCell="AB8" sqref="AB8"/>
      <selection pane="bottomLeft" activeCell="C57" sqref="C57"/>
      <selection pane="bottomRight" activeCell="AB33" sqref="AB33"/>
    </sheetView>
  </sheetViews>
  <sheetFormatPr defaultColWidth="9.00390625" defaultRowHeight="12"/>
  <cols>
    <col min="1" max="1" width="4.375" style="16" customWidth="1"/>
    <col min="2" max="2" width="8.75390625" style="7" customWidth="1"/>
    <col min="3" max="3" width="28.625" style="7" customWidth="1"/>
    <col min="4" max="9" width="12.00390625" style="7" customWidth="1"/>
    <col min="10" max="10" width="12.00390625" style="0" customWidth="1"/>
    <col min="11" max="11" width="10.25390625" style="0" customWidth="1"/>
    <col min="12" max="16" width="10.00390625" style="0" customWidth="1"/>
    <col min="17" max="27" width="9.375" style="0" customWidth="1"/>
    <col min="28" max="28" width="11.00390625" style="0" customWidth="1"/>
    <col min="29" max="16384" width="11.00390625" style="7" customWidth="1"/>
  </cols>
  <sheetData>
    <row r="1" spans="1:9" ht="12.75">
      <c r="A1" s="36"/>
      <c r="B1" s="23"/>
      <c r="C1" s="21"/>
      <c r="D1" s="40" t="s">
        <v>0</v>
      </c>
      <c r="E1"/>
      <c r="F1" s="20"/>
      <c r="G1" s="21" t="s">
        <v>1</v>
      </c>
      <c r="H1" s="22"/>
      <c r="I1" s="40"/>
    </row>
    <row r="2" spans="1:8" s="75" customFormat="1" ht="12" customHeight="1">
      <c r="A2" s="74"/>
      <c r="B2" s="76" t="s">
        <v>2</v>
      </c>
      <c r="C2" s="77">
        <f>D10</f>
        <v>49880.15016020259</v>
      </c>
      <c r="D2" s="78"/>
      <c r="E2" s="76" t="s">
        <v>3</v>
      </c>
      <c r="F2" s="72">
        <f>O3</f>
        <v>0.04</v>
      </c>
      <c r="G2" s="76" t="s">
        <v>4</v>
      </c>
      <c r="H2" s="79">
        <v>0.35</v>
      </c>
    </row>
    <row r="3" spans="1:15" ht="12" customHeight="1">
      <c r="A3" s="36"/>
      <c r="B3" s="23"/>
      <c r="C3" s="21"/>
      <c r="D3" s="21"/>
      <c r="E3" s="23"/>
      <c r="F3" s="20"/>
      <c r="G3" s="23"/>
      <c r="H3" s="22"/>
      <c r="N3" s="65" t="s">
        <v>5</v>
      </c>
      <c r="O3" s="66">
        <v>0.04</v>
      </c>
    </row>
    <row r="4" spans="1:28" ht="10.5" customHeight="1">
      <c r="A4" s="36"/>
      <c r="B4"/>
      <c r="C4"/>
      <c r="D4" s="23">
        <v>0</v>
      </c>
      <c r="E4" s="23">
        <v>1</v>
      </c>
      <c r="F4" s="23">
        <f aca="true" t="shared" si="0" ref="F4:AB4">E4+1</f>
        <v>2</v>
      </c>
      <c r="G4" s="23">
        <f t="shared" si="0"/>
        <v>3</v>
      </c>
      <c r="H4" s="23">
        <f t="shared" si="0"/>
        <v>4</v>
      </c>
      <c r="I4" s="23">
        <f t="shared" si="0"/>
        <v>5</v>
      </c>
      <c r="J4" s="23">
        <f t="shared" si="0"/>
        <v>6</v>
      </c>
      <c r="K4" s="23">
        <f t="shared" si="0"/>
        <v>7</v>
      </c>
      <c r="L4" s="23">
        <f t="shared" si="0"/>
        <v>8</v>
      </c>
      <c r="M4" s="47">
        <f t="shared" si="0"/>
        <v>9</v>
      </c>
      <c r="N4" s="23">
        <f t="shared" si="0"/>
        <v>10</v>
      </c>
      <c r="O4" s="23">
        <f t="shared" si="0"/>
        <v>11</v>
      </c>
      <c r="P4" s="23">
        <f t="shared" si="0"/>
        <v>12</v>
      </c>
      <c r="Q4" s="23">
        <f t="shared" si="0"/>
        <v>13</v>
      </c>
      <c r="R4" s="23">
        <f t="shared" si="0"/>
        <v>14</v>
      </c>
      <c r="S4" s="23">
        <f t="shared" si="0"/>
        <v>15</v>
      </c>
      <c r="T4" s="23">
        <f t="shared" si="0"/>
        <v>16</v>
      </c>
      <c r="U4" s="23">
        <f t="shared" si="0"/>
        <v>17</v>
      </c>
      <c r="V4" s="23">
        <f t="shared" si="0"/>
        <v>18</v>
      </c>
      <c r="W4" s="23">
        <f t="shared" si="0"/>
        <v>19</v>
      </c>
      <c r="X4" s="23">
        <f t="shared" si="0"/>
        <v>20</v>
      </c>
      <c r="Y4" s="23">
        <f t="shared" si="0"/>
        <v>21</v>
      </c>
      <c r="Z4" s="23">
        <f t="shared" si="0"/>
        <v>22</v>
      </c>
      <c r="AA4" s="23">
        <f t="shared" si="0"/>
        <v>23</v>
      </c>
      <c r="AB4" s="23">
        <f t="shared" si="0"/>
        <v>24</v>
      </c>
    </row>
    <row r="5" spans="1:28" ht="10.5" customHeight="1">
      <c r="A5" s="36">
        <v>2</v>
      </c>
      <c r="B5" s="17"/>
      <c r="C5" s="15" t="s">
        <v>12</v>
      </c>
      <c r="D5" s="18">
        <v>7500</v>
      </c>
      <c r="E5" s="18">
        <v>8400</v>
      </c>
      <c r="F5" s="18">
        <f>E5*1.12</f>
        <v>9408</v>
      </c>
      <c r="G5" s="18">
        <f aca="true" t="shared" si="1" ref="G5:AB5">F5*(1+$F$2)</f>
        <v>9784.32</v>
      </c>
      <c r="H5" s="18">
        <f t="shared" si="1"/>
        <v>10175.6928</v>
      </c>
      <c r="I5" s="18">
        <f t="shared" si="1"/>
        <v>10582.720512000002</v>
      </c>
      <c r="J5" s="18">
        <f t="shared" si="1"/>
        <v>11006.029332480002</v>
      </c>
      <c r="K5" s="18">
        <f t="shared" si="1"/>
        <v>11446.270505779203</v>
      </c>
      <c r="L5" s="18">
        <f t="shared" si="1"/>
        <v>11904.12132601037</v>
      </c>
      <c r="M5" s="18">
        <f t="shared" si="1"/>
        <v>12380.286179050785</v>
      </c>
      <c r="N5" s="18">
        <f t="shared" si="1"/>
        <v>12875.497626212817</v>
      </c>
      <c r="O5" s="18">
        <f t="shared" si="1"/>
        <v>13390.51753126133</v>
      </c>
      <c r="P5" s="18">
        <f t="shared" si="1"/>
        <v>13926.138232511783</v>
      </c>
      <c r="Q5" s="18">
        <f t="shared" si="1"/>
        <v>14483.183761812255</v>
      </c>
      <c r="R5" s="18">
        <f t="shared" si="1"/>
        <v>15062.511112284747</v>
      </c>
      <c r="S5" s="18">
        <f t="shared" si="1"/>
        <v>15665.011556776137</v>
      </c>
      <c r="T5" s="18">
        <f t="shared" si="1"/>
        <v>16291.612019047183</v>
      </c>
      <c r="U5" s="18">
        <f t="shared" si="1"/>
        <v>16943.27649980907</v>
      </c>
      <c r="V5" s="18">
        <f t="shared" si="1"/>
        <v>17621.007559801434</v>
      </c>
      <c r="W5" s="18">
        <f t="shared" si="1"/>
        <v>18325.847862193492</v>
      </c>
      <c r="X5" s="18">
        <f t="shared" si="1"/>
        <v>19058.88177668123</v>
      </c>
      <c r="Y5" s="18">
        <f t="shared" si="1"/>
        <v>19821.23704774848</v>
      </c>
      <c r="Z5" s="18">
        <f t="shared" si="1"/>
        <v>20614.08652965842</v>
      </c>
      <c r="AA5" s="18">
        <f t="shared" si="1"/>
        <v>21438.64999084476</v>
      </c>
      <c r="AB5" s="18">
        <f t="shared" si="1"/>
        <v>22296.19599047855</v>
      </c>
    </row>
    <row r="6" spans="1:28" ht="10.5" customHeight="1">
      <c r="A6" s="36">
        <v>4</v>
      </c>
      <c r="B6" s="17"/>
      <c r="C6" s="15" t="s">
        <v>6</v>
      </c>
      <c r="D6" s="18">
        <v>100000</v>
      </c>
      <c r="E6" s="10">
        <f aca="true" t="shared" si="2" ref="E6:AB6">D6-E27</f>
        <v>110000</v>
      </c>
      <c r="F6" s="10">
        <f t="shared" si="2"/>
        <v>121200</v>
      </c>
      <c r="G6" s="10">
        <f t="shared" si="2"/>
        <v>133744</v>
      </c>
      <c r="H6" s="10">
        <f t="shared" si="2"/>
        <v>146789.76</v>
      </c>
      <c r="I6" s="10">
        <f t="shared" si="2"/>
        <v>160357.35040000002</v>
      </c>
      <c r="J6" s="10">
        <f t="shared" si="2"/>
        <v>174467.64441600002</v>
      </c>
      <c r="K6" s="10">
        <f t="shared" si="2"/>
        <v>189142.35019264003</v>
      </c>
      <c r="L6" s="10">
        <f t="shared" si="2"/>
        <v>204404.04420034564</v>
      </c>
      <c r="M6" s="10">
        <f t="shared" si="2"/>
        <v>220276.20596835949</v>
      </c>
      <c r="N6" s="10">
        <f t="shared" si="2"/>
        <v>236783.25420709388</v>
      </c>
      <c r="O6" s="10">
        <f t="shared" si="2"/>
        <v>253950.58437537763</v>
      </c>
      <c r="P6" s="10">
        <f t="shared" si="2"/>
        <v>271804.60775039275</v>
      </c>
      <c r="Q6" s="10">
        <f t="shared" si="2"/>
        <v>290372.79206040845</v>
      </c>
      <c r="R6" s="10">
        <f t="shared" si="2"/>
        <v>309683.7037428248</v>
      </c>
      <c r="S6" s="10">
        <f t="shared" si="2"/>
        <v>329767.0518925378</v>
      </c>
      <c r="T6" s="10">
        <f t="shared" si="2"/>
        <v>350653.73396823934</v>
      </c>
      <c r="U6" s="10">
        <f t="shared" si="2"/>
        <v>372375.88332696893</v>
      </c>
      <c r="V6" s="10">
        <f t="shared" si="2"/>
        <v>394966.9186600477</v>
      </c>
      <c r="W6" s="10">
        <f t="shared" si="2"/>
        <v>418461.59540644963</v>
      </c>
      <c r="X6" s="10">
        <f t="shared" si="2"/>
        <v>442896.05922270764</v>
      </c>
      <c r="Y6" s="10">
        <f t="shared" si="2"/>
        <v>468307.901591616</v>
      </c>
      <c r="Z6" s="10">
        <f t="shared" si="2"/>
        <v>494736.2176552806</v>
      </c>
      <c r="AA6" s="10">
        <f t="shared" si="2"/>
        <v>522221.66636149184</v>
      </c>
      <c r="AB6" s="10">
        <f t="shared" si="2"/>
        <v>550806.5330159515</v>
      </c>
    </row>
    <row r="7" spans="1:28" ht="10.5" customHeight="1">
      <c r="A7" s="36">
        <v>5</v>
      </c>
      <c r="B7" s="17"/>
      <c r="C7" s="15" t="s">
        <v>7</v>
      </c>
      <c r="D7" s="18">
        <v>0</v>
      </c>
      <c r="E7" s="10">
        <f aca="true" t="shared" si="3" ref="E7:AB7">D7+E15</f>
        <v>10000</v>
      </c>
      <c r="F7" s="10">
        <f t="shared" si="3"/>
        <v>21200</v>
      </c>
      <c r="G7" s="10">
        <f t="shared" si="3"/>
        <v>33744</v>
      </c>
      <c r="H7" s="10">
        <f t="shared" si="3"/>
        <v>46789.76</v>
      </c>
      <c r="I7" s="10">
        <f t="shared" si="3"/>
        <v>60357.35040000001</v>
      </c>
      <c r="J7" s="1">
        <f t="shared" si="3"/>
        <v>74467.64441600001</v>
      </c>
      <c r="K7" s="1">
        <f t="shared" si="3"/>
        <v>89142.35019264002</v>
      </c>
      <c r="L7" s="2">
        <f t="shared" si="3"/>
        <v>104404.04420034563</v>
      </c>
      <c r="M7" s="42">
        <f t="shared" si="3"/>
        <v>120276.20596835946</v>
      </c>
      <c r="N7" s="2">
        <f t="shared" si="3"/>
        <v>136783.25420709385</v>
      </c>
      <c r="O7" s="2">
        <f t="shared" si="3"/>
        <v>153950.58437537763</v>
      </c>
      <c r="P7" s="2">
        <f t="shared" si="3"/>
        <v>171804.60775039275</v>
      </c>
      <c r="Q7" s="2">
        <f t="shared" si="3"/>
        <v>190372.79206040848</v>
      </c>
      <c r="R7" s="2">
        <f t="shared" si="3"/>
        <v>209683.70374282481</v>
      </c>
      <c r="S7" s="2">
        <f t="shared" si="3"/>
        <v>229767.05189253783</v>
      </c>
      <c r="T7" s="2">
        <f t="shared" si="3"/>
        <v>250653.73396823934</v>
      </c>
      <c r="U7" s="2">
        <f t="shared" si="3"/>
        <v>272375.88332696893</v>
      </c>
      <c r="V7" s="2">
        <f t="shared" si="3"/>
        <v>294966.9186600477</v>
      </c>
      <c r="W7" s="2">
        <f t="shared" si="3"/>
        <v>318461.59540644963</v>
      </c>
      <c r="X7" s="2">
        <f t="shared" si="3"/>
        <v>342896.05922270764</v>
      </c>
      <c r="Y7" s="2">
        <f t="shared" si="3"/>
        <v>368307.901591616</v>
      </c>
      <c r="Z7" s="2">
        <f t="shared" si="3"/>
        <v>394736.2176552806</v>
      </c>
      <c r="AA7" s="2">
        <f t="shared" si="3"/>
        <v>422221.66636149184</v>
      </c>
      <c r="AB7" s="2">
        <f t="shared" si="3"/>
        <v>450806.5330159515</v>
      </c>
    </row>
    <row r="8" spans="1:28" ht="10.5" customHeight="1">
      <c r="A8" s="36">
        <v>6</v>
      </c>
      <c r="B8" s="17"/>
      <c r="C8" s="15" t="s">
        <v>8</v>
      </c>
      <c r="D8" s="18">
        <f aca="true" t="shared" si="4" ref="D8:AB8">D6-D7</f>
        <v>100000</v>
      </c>
      <c r="E8" s="18">
        <f t="shared" si="4"/>
        <v>100000</v>
      </c>
      <c r="F8" s="18">
        <f t="shared" si="4"/>
        <v>100000</v>
      </c>
      <c r="G8" s="18">
        <f t="shared" si="4"/>
        <v>100000</v>
      </c>
      <c r="H8" s="18">
        <f t="shared" si="4"/>
        <v>100000</v>
      </c>
      <c r="I8" s="18">
        <f t="shared" si="4"/>
        <v>100000.00000000001</v>
      </c>
      <c r="J8" s="5">
        <f t="shared" si="4"/>
        <v>100000.00000000001</v>
      </c>
      <c r="K8" s="5">
        <f t="shared" si="4"/>
        <v>100000.00000000001</v>
      </c>
      <c r="L8" s="6">
        <f t="shared" si="4"/>
        <v>100000.00000000001</v>
      </c>
      <c r="M8" s="45">
        <f t="shared" si="4"/>
        <v>100000.00000000003</v>
      </c>
      <c r="N8" s="6">
        <f t="shared" si="4"/>
        <v>100000.00000000003</v>
      </c>
      <c r="O8" s="6">
        <f t="shared" si="4"/>
        <v>100000</v>
      </c>
      <c r="P8" s="6">
        <f t="shared" si="4"/>
        <v>100000</v>
      </c>
      <c r="Q8" s="6">
        <f t="shared" si="4"/>
        <v>99999.99999999997</v>
      </c>
      <c r="R8" s="6">
        <f t="shared" si="4"/>
        <v>99999.99999999997</v>
      </c>
      <c r="S8" s="6">
        <f t="shared" si="4"/>
        <v>99999.99999999997</v>
      </c>
      <c r="T8" s="6">
        <f t="shared" si="4"/>
        <v>100000</v>
      </c>
      <c r="U8" s="6">
        <f t="shared" si="4"/>
        <v>100000</v>
      </c>
      <c r="V8" s="6">
        <f t="shared" si="4"/>
        <v>100000</v>
      </c>
      <c r="W8" s="6">
        <f t="shared" si="4"/>
        <v>100000</v>
      </c>
      <c r="X8" s="6">
        <f t="shared" si="4"/>
        <v>100000</v>
      </c>
      <c r="Y8" s="6">
        <f t="shared" si="4"/>
        <v>100000</v>
      </c>
      <c r="Z8" s="6">
        <f t="shared" si="4"/>
        <v>100000</v>
      </c>
      <c r="AA8" s="6">
        <f t="shared" si="4"/>
        <v>100000</v>
      </c>
      <c r="AB8" s="6">
        <f t="shared" si="4"/>
        <v>100000</v>
      </c>
    </row>
    <row r="9" spans="1:28" ht="10.5" customHeight="1">
      <c r="A9" s="36">
        <v>7</v>
      </c>
      <c r="B9" s="37"/>
      <c r="C9" s="35" t="s">
        <v>53</v>
      </c>
      <c r="D9" s="38">
        <f aca="true" t="shared" si="5" ref="D9:AB9">D5+D8</f>
        <v>107500</v>
      </c>
      <c r="E9" s="38">
        <f t="shared" si="5"/>
        <v>108400</v>
      </c>
      <c r="F9" s="38">
        <f t="shared" si="5"/>
        <v>109408</v>
      </c>
      <c r="G9" s="38">
        <f t="shared" si="5"/>
        <v>109784.32</v>
      </c>
      <c r="H9" s="38">
        <f t="shared" si="5"/>
        <v>110175.6928</v>
      </c>
      <c r="I9" s="38">
        <f t="shared" si="5"/>
        <v>110582.72051200001</v>
      </c>
      <c r="J9" s="38">
        <f t="shared" si="5"/>
        <v>111006.02933248002</v>
      </c>
      <c r="K9" s="38">
        <f t="shared" si="5"/>
        <v>111446.27050577922</v>
      </c>
      <c r="L9" s="38">
        <f t="shared" si="5"/>
        <v>111904.12132601038</v>
      </c>
      <c r="M9" s="38">
        <f t="shared" si="5"/>
        <v>112380.28617905082</v>
      </c>
      <c r="N9" s="38">
        <f t="shared" si="5"/>
        <v>112875.49762621285</v>
      </c>
      <c r="O9" s="38">
        <f t="shared" si="5"/>
        <v>113390.51753126133</v>
      </c>
      <c r="P9" s="38">
        <f t="shared" si="5"/>
        <v>113926.13823251179</v>
      </c>
      <c r="Q9" s="38">
        <f t="shared" si="5"/>
        <v>114483.18376181222</v>
      </c>
      <c r="R9" s="38">
        <f t="shared" si="5"/>
        <v>115062.51111228472</v>
      </c>
      <c r="S9" s="38">
        <f t="shared" si="5"/>
        <v>115665.01155677611</v>
      </c>
      <c r="T9" s="38">
        <f t="shared" si="5"/>
        <v>116291.61201904718</v>
      </c>
      <c r="U9" s="38">
        <f t="shared" si="5"/>
        <v>116943.27649980907</v>
      </c>
      <c r="V9" s="38">
        <f t="shared" si="5"/>
        <v>117621.00755980144</v>
      </c>
      <c r="W9" s="38">
        <f t="shared" si="5"/>
        <v>118325.84786219349</v>
      </c>
      <c r="X9" s="38">
        <f t="shared" si="5"/>
        <v>119058.88177668123</v>
      </c>
      <c r="Y9" s="38">
        <f t="shared" si="5"/>
        <v>119821.23704774848</v>
      </c>
      <c r="Z9" s="38">
        <f t="shared" si="5"/>
        <v>120614.08652965842</v>
      </c>
      <c r="AA9" s="38">
        <f t="shared" si="5"/>
        <v>121438.64999084476</v>
      </c>
      <c r="AB9" s="38">
        <f t="shared" si="5"/>
        <v>122296.19599047855</v>
      </c>
    </row>
    <row r="10" spans="1:29" s="71" customFormat="1" ht="10.5" customHeight="1">
      <c r="A10" s="40">
        <v>9</v>
      </c>
      <c r="B10" s="67"/>
      <c r="C10" s="68" t="s">
        <v>9</v>
      </c>
      <c r="D10" s="69">
        <f>(2/3)*D49</f>
        <v>49880.15015975151</v>
      </c>
      <c r="E10" s="69">
        <f>(2/3)*E49</f>
        <v>52761.59740466733</v>
      </c>
      <c r="F10" s="69">
        <f>(2/3)*F49</f>
        <v>55508.2926829269</v>
      </c>
      <c r="G10" s="69">
        <f>(2/3)*G49</f>
        <v>57728.62439024396</v>
      </c>
      <c r="H10" s="70">
        <f aca="true" t="shared" si="6" ref="H10:AC10">G10*(1+$F$2)</f>
        <v>60037.76936585372</v>
      </c>
      <c r="I10" s="70">
        <f t="shared" si="6"/>
        <v>62439.28014048787</v>
      </c>
      <c r="J10" s="70">
        <f t="shared" si="6"/>
        <v>64936.85134610739</v>
      </c>
      <c r="K10" s="70">
        <f t="shared" si="6"/>
        <v>67534.32539995169</v>
      </c>
      <c r="L10" s="70">
        <f t="shared" si="6"/>
        <v>70235.69841594977</v>
      </c>
      <c r="M10" s="70">
        <f t="shared" si="6"/>
        <v>73045.12635258776</v>
      </c>
      <c r="N10" s="70">
        <f t="shared" si="6"/>
        <v>75966.93140669128</v>
      </c>
      <c r="O10" s="70">
        <f t="shared" si="6"/>
        <v>79005.60866295893</v>
      </c>
      <c r="P10" s="70">
        <f t="shared" si="6"/>
        <v>82165.83300947728</v>
      </c>
      <c r="Q10" s="70">
        <f t="shared" si="6"/>
        <v>85452.46632985638</v>
      </c>
      <c r="R10" s="70">
        <f t="shared" si="6"/>
        <v>88870.56498305064</v>
      </c>
      <c r="S10" s="70">
        <f t="shared" si="6"/>
        <v>92425.38758237267</v>
      </c>
      <c r="T10" s="70">
        <f t="shared" si="6"/>
        <v>96122.40308566758</v>
      </c>
      <c r="U10" s="70">
        <f t="shared" si="6"/>
        <v>99967.29920909429</v>
      </c>
      <c r="V10" s="70">
        <f t="shared" si="6"/>
        <v>103965.99117745805</v>
      </c>
      <c r="W10" s="70">
        <f t="shared" si="6"/>
        <v>108124.63082455639</v>
      </c>
      <c r="X10" s="70">
        <f t="shared" si="6"/>
        <v>112449.61605753865</v>
      </c>
      <c r="Y10" s="70">
        <f t="shared" si="6"/>
        <v>116947.6006998402</v>
      </c>
      <c r="Z10" s="70">
        <f t="shared" si="6"/>
        <v>121625.50472783382</v>
      </c>
      <c r="AA10" s="70">
        <f t="shared" si="6"/>
        <v>126490.52491694718</v>
      </c>
      <c r="AB10" s="70">
        <f t="shared" si="6"/>
        <v>131550.14591362508</v>
      </c>
      <c r="AC10" s="70">
        <f t="shared" si="6"/>
        <v>136812.15175017007</v>
      </c>
    </row>
    <row r="11" spans="1:28" ht="10.5" customHeight="1">
      <c r="A11" s="36">
        <v>10</v>
      </c>
      <c r="B11" s="17"/>
      <c r="C11" s="15" t="s">
        <v>10</v>
      </c>
      <c r="D11" s="18">
        <f>D5+D8-D10</f>
        <v>57619.84984024849</v>
      </c>
      <c r="E11" s="18">
        <f aca="true" t="shared" si="7" ref="E11:AB11">D11+E20-E28</f>
        <v>55638.40259508838</v>
      </c>
      <c r="F11" s="18">
        <f t="shared" si="7"/>
        <v>53899.70731680652</v>
      </c>
      <c r="G11" s="18">
        <f t="shared" si="7"/>
        <v>52055.695609489456</v>
      </c>
      <c r="H11" s="18">
        <f t="shared" si="7"/>
        <v>50137.9234338797</v>
      </c>
      <c r="I11" s="18">
        <f t="shared" si="7"/>
        <v>48143.440371245546</v>
      </c>
      <c r="J11" s="5">
        <f t="shared" si="7"/>
        <v>46069.17798610603</v>
      </c>
      <c r="K11" s="5">
        <f t="shared" si="7"/>
        <v>43911.94510556093</v>
      </c>
      <c r="L11" s="6">
        <f t="shared" si="7"/>
        <v>41668.422909794026</v>
      </c>
      <c r="M11" s="45">
        <f t="shared" si="7"/>
        <v>39335.15982619645</v>
      </c>
      <c r="N11" s="6">
        <f t="shared" si="7"/>
        <v>36908.56621925496</v>
      </c>
      <c r="O11" s="6">
        <f t="shared" si="7"/>
        <v>34384.908868035825</v>
      </c>
      <c r="P11" s="6">
        <f t="shared" si="7"/>
        <v>31760.305222767925</v>
      </c>
      <c r="Q11" s="6">
        <f t="shared" si="7"/>
        <v>29030.7174316893</v>
      </c>
      <c r="R11" s="6">
        <f t="shared" si="7"/>
        <v>26191.94612896753</v>
      </c>
      <c r="S11" s="6">
        <f t="shared" si="7"/>
        <v>23239.6239741369</v>
      </c>
      <c r="T11" s="6">
        <f t="shared" si="7"/>
        <v>20169.208933113026</v>
      </c>
      <c r="U11" s="6">
        <f t="shared" si="7"/>
        <v>16975.97729044821</v>
      </c>
      <c r="V11" s="6">
        <f t="shared" si="7"/>
        <v>13655.016382076796</v>
      </c>
      <c r="W11" s="6">
        <f t="shared" si="7"/>
        <v>10201.217037370527</v>
      </c>
      <c r="X11" s="6">
        <f t="shared" si="7"/>
        <v>6609.265718875999</v>
      </c>
      <c r="Y11" s="6">
        <f t="shared" si="7"/>
        <v>2873.6363476416955</v>
      </c>
      <c r="Z11" s="6">
        <f t="shared" si="7"/>
        <v>-1011.4181984419811</v>
      </c>
      <c r="AA11" s="6">
        <f t="shared" si="7"/>
        <v>-5051.874926369004</v>
      </c>
      <c r="AB11" s="6">
        <f t="shared" si="7"/>
        <v>-9253.949923413107</v>
      </c>
    </row>
    <row r="12" spans="1:28" ht="10.5" customHeight="1">
      <c r="A12" s="36">
        <v>11</v>
      </c>
      <c r="B12" s="37"/>
      <c r="C12" s="35" t="s">
        <v>11</v>
      </c>
      <c r="D12" s="38">
        <f>D10+D11</f>
        <v>107500</v>
      </c>
      <c r="E12" s="38">
        <f aca="true" t="shared" si="8" ref="E12:AB12">E10+E11</f>
        <v>108399.9999997557</v>
      </c>
      <c r="F12" s="38">
        <f t="shared" si="8"/>
        <v>109407.99999973341</v>
      </c>
      <c r="G12" s="38">
        <f t="shared" si="8"/>
        <v>109784.31999973342</v>
      </c>
      <c r="H12" s="38">
        <f t="shared" si="8"/>
        <v>110175.69279973343</v>
      </c>
      <c r="I12" s="38">
        <f t="shared" si="8"/>
        <v>110582.72051173341</v>
      </c>
      <c r="J12" s="38">
        <f t="shared" si="8"/>
        <v>111006.02933221342</v>
      </c>
      <c r="K12" s="38">
        <f t="shared" si="8"/>
        <v>111446.27050551263</v>
      </c>
      <c r="L12" s="38">
        <f t="shared" si="8"/>
        <v>111904.12132574379</v>
      </c>
      <c r="M12" s="38">
        <f t="shared" si="8"/>
        <v>112380.28617878421</v>
      </c>
      <c r="N12" s="38">
        <f t="shared" si="8"/>
        <v>112875.49762594624</v>
      </c>
      <c r="O12" s="38">
        <f t="shared" si="8"/>
        <v>113390.51753099475</v>
      </c>
      <c r="P12" s="38">
        <f t="shared" si="8"/>
        <v>113926.13823224521</v>
      </c>
      <c r="Q12" s="38">
        <f t="shared" si="8"/>
        <v>114483.18376154569</v>
      </c>
      <c r="R12" s="38">
        <f t="shared" si="8"/>
        <v>115062.51111201817</v>
      </c>
      <c r="S12" s="38">
        <f t="shared" si="8"/>
        <v>115665.01155650956</v>
      </c>
      <c r="T12" s="38">
        <f t="shared" si="8"/>
        <v>116291.61201878061</v>
      </c>
      <c r="U12" s="38">
        <f t="shared" si="8"/>
        <v>116943.2764995425</v>
      </c>
      <c r="V12" s="38">
        <f t="shared" si="8"/>
        <v>117621.00755953485</v>
      </c>
      <c r="W12" s="38">
        <f t="shared" si="8"/>
        <v>118325.84786192692</v>
      </c>
      <c r="X12" s="38">
        <f t="shared" si="8"/>
        <v>119058.88177641464</v>
      </c>
      <c r="Y12" s="38">
        <f t="shared" si="8"/>
        <v>119821.2370474819</v>
      </c>
      <c r="Z12" s="38">
        <f t="shared" si="8"/>
        <v>120614.08652939183</v>
      </c>
      <c r="AA12" s="38">
        <f t="shared" si="8"/>
        <v>121438.64999057818</v>
      </c>
      <c r="AB12" s="38">
        <f t="shared" si="8"/>
        <v>122296.19599021197</v>
      </c>
    </row>
    <row r="13" spans="1:28" ht="10.5" customHeight="1">
      <c r="A13" s="36"/>
      <c r="B13" s="23"/>
      <c r="C13" s="22"/>
      <c r="D13" s="23"/>
      <c r="E13" s="25"/>
      <c r="F13" s="25"/>
      <c r="G13" s="25"/>
      <c r="H13" s="25"/>
      <c r="I13" s="25"/>
      <c r="J13" s="25"/>
      <c r="K13" s="25"/>
      <c r="L13" s="25"/>
      <c r="M13" s="48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0.5" customHeight="1">
      <c r="A14" s="36">
        <v>16</v>
      </c>
      <c r="B14" s="23"/>
      <c r="C14" s="15" t="s">
        <v>56</v>
      </c>
      <c r="D14" s="17"/>
      <c r="E14" s="18">
        <v>30000</v>
      </c>
      <c r="F14" s="18">
        <v>33600</v>
      </c>
      <c r="G14" s="18">
        <v>37632</v>
      </c>
      <c r="H14" s="18">
        <v>39137.28</v>
      </c>
      <c r="I14" s="18">
        <v>40702.77120000002</v>
      </c>
      <c r="J14" s="18">
        <v>42330.882048000014</v>
      </c>
      <c r="K14" s="18">
        <v>44024.117329920016</v>
      </c>
      <c r="L14" s="18">
        <v>45785.08202311682</v>
      </c>
      <c r="M14" s="18">
        <v>47616.48530404149</v>
      </c>
      <c r="N14" s="18">
        <v>49521.144716203155</v>
      </c>
      <c r="O14" s="18">
        <v>51501.99050485129</v>
      </c>
      <c r="P14" s="18">
        <v>53562.07012504536</v>
      </c>
      <c r="Q14" s="18">
        <v>55704.55293004718</v>
      </c>
      <c r="R14" s="18">
        <v>57932.735047249065</v>
      </c>
      <c r="S14" s="18">
        <v>60250.04444913902</v>
      </c>
      <c r="T14" s="18">
        <v>62660.04622710458</v>
      </c>
      <c r="U14" s="18">
        <v>65166.44807618877</v>
      </c>
      <c r="V14" s="18">
        <v>67773.1059992363</v>
      </c>
      <c r="W14" s="18">
        <v>70484.03023920575</v>
      </c>
      <c r="X14" s="18">
        <v>73303.39144877397</v>
      </c>
      <c r="Y14" s="18">
        <v>76235.52710672494</v>
      </c>
      <c r="Z14" s="18">
        <v>79284.94819099393</v>
      </c>
      <c r="AA14" s="18">
        <v>82456.3461186337</v>
      </c>
      <c r="AB14" s="18">
        <v>85754.59996337905</v>
      </c>
    </row>
    <row r="15" spans="1:29" ht="10.5" customHeight="1">
      <c r="A15" s="36">
        <v>17</v>
      </c>
      <c r="B15" s="23"/>
      <c r="C15" s="15" t="s">
        <v>13</v>
      </c>
      <c r="D15" s="17"/>
      <c r="E15" s="10">
        <v>10000</v>
      </c>
      <c r="F15" s="10">
        <f>E15*1.12</f>
        <v>11200.000000000002</v>
      </c>
      <c r="G15" s="10">
        <f>F15*1.12</f>
        <v>12544.000000000004</v>
      </c>
      <c r="H15" s="18">
        <f aca="true" t="shared" si="9" ref="H15:AC15">G15*(1+$F$2)</f>
        <v>13045.760000000004</v>
      </c>
      <c r="I15" s="18">
        <f t="shared" si="9"/>
        <v>13567.590400000005</v>
      </c>
      <c r="J15" s="18">
        <f t="shared" si="9"/>
        <v>14110.294016000005</v>
      </c>
      <c r="K15" s="18">
        <f t="shared" si="9"/>
        <v>14674.705776640007</v>
      </c>
      <c r="L15" s="18">
        <f t="shared" si="9"/>
        <v>15261.694007705608</v>
      </c>
      <c r="M15" s="18">
        <f t="shared" si="9"/>
        <v>15872.161768013833</v>
      </c>
      <c r="N15" s="18">
        <f t="shared" si="9"/>
        <v>16507.048238734387</v>
      </c>
      <c r="O15" s="18">
        <f t="shared" si="9"/>
        <v>17167.330168283763</v>
      </c>
      <c r="P15" s="18">
        <f t="shared" si="9"/>
        <v>17854.023375015113</v>
      </c>
      <c r="Q15" s="18">
        <f t="shared" si="9"/>
        <v>18568.184310015717</v>
      </c>
      <c r="R15" s="18">
        <f t="shared" si="9"/>
        <v>19310.911682416347</v>
      </c>
      <c r="S15" s="18">
        <f t="shared" si="9"/>
        <v>20083.348149713</v>
      </c>
      <c r="T15" s="18">
        <f t="shared" si="9"/>
        <v>20886.682075701523</v>
      </c>
      <c r="U15" s="18">
        <f t="shared" si="9"/>
        <v>21722.149358729584</v>
      </c>
      <c r="V15" s="18">
        <f t="shared" si="9"/>
        <v>22591.03533307877</v>
      </c>
      <c r="W15" s="18">
        <f t="shared" si="9"/>
        <v>23494.67674640192</v>
      </c>
      <c r="X15" s="18">
        <f t="shared" si="9"/>
        <v>24434.463816257998</v>
      </c>
      <c r="Y15" s="18">
        <f t="shared" si="9"/>
        <v>25411.842368908317</v>
      </c>
      <c r="Z15" s="18">
        <f t="shared" si="9"/>
        <v>26428.31606366465</v>
      </c>
      <c r="AA15" s="18">
        <f t="shared" si="9"/>
        <v>27485.44870621124</v>
      </c>
      <c r="AB15" s="18">
        <f t="shared" si="9"/>
        <v>28584.86665445969</v>
      </c>
      <c r="AC15" s="18">
        <f t="shared" si="9"/>
        <v>29728.261320638077</v>
      </c>
    </row>
    <row r="16" spans="1:28" ht="10.5" customHeight="1">
      <c r="A16" s="36">
        <v>18</v>
      </c>
      <c r="C16" s="7" t="s">
        <v>14</v>
      </c>
      <c r="E16" s="10">
        <f>E14-E15</f>
        <v>20000</v>
      </c>
      <c r="F16" s="10">
        <f aca="true" t="shared" si="10" ref="F16:AB16">F14-F15</f>
        <v>22400</v>
      </c>
      <c r="G16" s="10">
        <f t="shared" si="10"/>
        <v>25087.999999999996</v>
      </c>
      <c r="H16" s="10">
        <f t="shared" si="10"/>
        <v>26091.519999999997</v>
      </c>
      <c r="I16" s="10">
        <f t="shared" si="10"/>
        <v>27135.180800000013</v>
      </c>
      <c r="J16" s="10">
        <f t="shared" si="10"/>
        <v>28220.588032000007</v>
      </c>
      <c r="K16" s="10">
        <f t="shared" si="10"/>
        <v>29349.41155328001</v>
      </c>
      <c r="L16" s="10">
        <f t="shared" si="10"/>
        <v>30523.388015411212</v>
      </c>
      <c r="M16" s="10">
        <f t="shared" si="10"/>
        <v>31744.323536027656</v>
      </c>
      <c r="N16" s="10">
        <f t="shared" si="10"/>
        <v>33014.09647746877</v>
      </c>
      <c r="O16" s="10">
        <f t="shared" si="10"/>
        <v>34334.660336567526</v>
      </c>
      <c r="P16" s="10">
        <f t="shared" si="10"/>
        <v>35708.04675003025</v>
      </c>
      <c r="Q16" s="10">
        <f t="shared" si="10"/>
        <v>37136.36862003147</v>
      </c>
      <c r="R16" s="10">
        <f t="shared" si="10"/>
        <v>38621.823364832715</v>
      </c>
      <c r="S16" s="10">
        <f t="shared" si="10"/>
        <v>40166.696299426025</v>
      </c>
      <c r="T16" s="10">
        <f t="shared" si="10"/>
        <v>41773.36415140306</v>
      </c>
      <c r="U16" s="10">
        <f t="shared" si="10"/>
        <v>43444.29871745918</v>
      </c>
      <c r="V16" s="10">
        <f t="shared" si="10"/>
        <v>45182.07066615753</v>
      </c>
      <c r="W16" s="10">
        <f t="shared" si="10"/>
        <v>46989.35349280383</v>
      </c>
      <c r="X16" s="10">
        <f t="shared" si="10"/>
        <v>48868.92763251597</v>
      </c>
      <c r="Y16" s="10">
        <f t="shared" si="10"/>
        <v>50823.68473781663</v>
      </c>
      <c r="Z16" s="10">
        <f t="shared" si="10"/>
        <v>52856.632127329285</v>
      </c>
      <c r="AA16" s="10">
        <f t="shared" si="10"/>
        <v>54970.897412422455</v>
      </c>
      <c r="AB16" s="10">
        <f t="shared" si="10"/>
        <v>57169.733308919356</v>
      </c>
    </row>
    <row r="17" spans="1:28" ht="10.5" customHeight="1">
      <c r="A17" s="36">
        <v>19</v>
      </c>
      <c r="C17" s="7" t="s">
        <v>15</v>
      </c>
      <c r="E17" s="10">
        <f aca="true" t="shared" si="11" ref="E17:AB17">D41*D42</f>
        <v>4489.213514418233</v>
      </c>
      <c r="F17" s="10">
        <f t="shared" si="11"/>
        <v>4748.543766423492</v>
      </c>
      <c r="G17" s="10">
        <f t="shared" si="11"/>
        <v>4995.746341463419</v>
      </c>
      <c r="H17" s="10">
        <f t="shared" si="11"/>
        <v>5195.5761951219565</v>
      </c>
      <c r="I17" s="10">
        <f t="shared" si="11"/>
        <v>5403.399242926835</v>
      </c>
      <c r="J17" s="10">
        <f t="shared" si="11"/>
        <v>5619.535212643908</v>
      </c>
      <c r="K17" s="10">
        <f t="shared" si="11"/>
        <v>5844.316621149665</v>
      </c>
      <c r="L17" s="10">
        <f t="shared" si="11"/>
        <v>6078.089285995652</v>
      </c>
      <c r="M17" s="10">
        <f t="shared" si="11"/>
        <v>6321.212857435478</v>
      </c>
      <c r="N17" s="10">
        <f t="shared" si="11"/>
        <v>6574.061371732898</v>
      </c>
      <c r="O17" s="10">
        <f t="shared" si="11"/>
        <v>6837.023826602214</v>
      </c>
      <c r="P17" s="10">
        <f t="shared" si="11"/>
        <v>7110.504779666303</v>
      </c>
      <c r="Q17" s="10">
        <f t="shared" si="11"/>
        <v>7394.924970852955</v>
      </c>
      <c r="R17" s="10">
        <f t="shared" si="11"/>
        <v>7690.721969687074</v>
      </c>
      <c r="S17" s="10">
        <f t="shared" si="11"/>
        <v>7998.350848474558</v>
      </c>
      <c r="T17" s="10">
        <f t="shared" si="11"/>
        <v>8318.28488241354</v>
      </c>
      <c r="U17" s="10">
        <f t="shared" si="11"/>
        <v>8651.016277710081</v>
      </c>
      <c r="V17" s="10">
        <f t="shared" si="11"/>
        <v>8997.056928818485</v>
      </c>
      <c r="W17" s="10">
        <f t="shared" si="11"/>
        <v>9356.939205971225</v>
      </c>
      <c r="X17" s="10">
        <f t="shared" si="11"/>
        <v>9731.216774210074</v>
      </c>
      <c r="Y17" s="10">
        <f t="shared" si="11"/>
        <v>10120.465445178477</v>
      </c>
      <c r="Z17" s="10">
        <f t="shared" si="11"/>
        <v>10525.284062985618</v>
      </c>
      <c r="AA17" s="10">
        <f t="shared" si="11"/>
        <v>10946.295425505043</v>
      </c>
      <c r="AB17" s="10">
        <f t="shared" si="11"/>
        <v>11384.147242525245</v>
      </c>
    </row>
    <row r="18" spans="1:28" ht="10.5" customHeight="1">
      <c r="A18" s="36">
        <v>20</v>
      </c>
      <c r="C18" s="7" t="s">
        <v>16</v>
      </c>
      <c r="E18" s="10">
        <f aca="true" t="shared" si="12" ref="E18:AB18">E16-E17</f>
        <v>15510.786485581768</v>
      </c>
      <c r="F18" s="10">
        <f t="shared" si="12"/>
        <v>17651.456233576508</v>
      </c>
      <c r="G18" s="10">
        <f t="shared" si="12"/>
        <v>20092.253658536578</v>
      </c>
      <c r="H18" s="10">
        <f t="shared" si="12"/>
        <v>20895.94380487804</v>
      </c>
      <c r="I18" s="10">
        <f t="shared" si="12"/>
        <v>21731.781557073176</v>
      </c>
      <c r="J18" s="1">
        <f t="shared" si="12"/>
        <v>22601.052819356097</v>
      </c>
      <c r="K18" s="2">
        <f t="shared" si="12"/>
        <v>23505.094932130345</v>
      </c>
      <c r="L18" s="2">
        <f t="shared" si="12"/>
        <v>24445.29872941556</v>
      </c>
      <c r="M18" s="42">
        <f t="shared" si="12"/>
        <v>25423.110678592177</v>
      </c>
      <c r="N18" s="2">
        <f t="shared" si="12"/>
        <v>26440.03510573587</v>
      </c>
      <c r="O18" s="2">
        <f t="shared" si="12"/>
        <v>27497.636509965312</v>
      </c>
      <c r="P18" s="2">
        <f t="shared" si="12"/>
        <v>28597.541970363945</v>
      </c>
      <c r="Q18" s="2">
        <f t="shared" si="12"/>
        <v>29741.443649178516</v>
      </c>
      <c r="R18" s="2">
        <f t="shared" si="12"/>
        <v>30931.10139514564</v>
      </c>
      <c r="S18" s="2">
        <f t="shared" si="12"/>
        <v>32168.345450951467</v>
      </c>
      <c r="T18" s="2">
        <f t="shared" si="12"/>
        <v>33455.07926898952</v>
      </c>
      <c r="U18" s="2">
        <f t="shared" si="12"/>
        <v>34793.282439749106</v>
      </c>
      <c r="V18" s="2">
        <f t="shared" si="12"/>
        <v>36185.013737339046</v>
      </c>
      <c r="W18" s="2">
        <f t="shared" si="12"/>
        <v>37632.4142868326</v>
      </c>
      <c r="X18" s="2">
        <f t="shared" si="12"/>
        <v>39137.7108583059</v>
      </c>
      <c r="Y18" s="2">
        <f t="shared" si="12"/>
        <v>40703.219292638154</v>
      </c>
      <c r="Z18" s="2">
        <f t="shared" si="12"/>
        <v>42331.34806434366</v>
      </c>
      <c r="AA18" s="2">
        <f t="shared" si="12"/>
        <v>44024.60198691741</v>
      </c>
      <c r="AB18" s="2">
        <f t="shared" si="12"/>
        <v>45785.58606639411</v>
      </c>
    </row>
    <row r="19" spans="1:28" ht="10.5" customHeight="1">
      <c r="A19" s="36">
        <v>21</v>
      </c>
      <c r="B19"/>
      <c r="C19" s="7" t="s">
        <v>17</v>
      </c>
      <c r="E19" s="10">
        <f aca="true" t="shared" si="13" ref="E19:AB19">$B68*E18</f>
        <v>5428.775269953619</v>
      </c>
      <c r="F19" s="10">
        <f t="shared" si="13"/>
        <v>6178.009681751777</v>
      </c>
      <c r="G19" s="10">
        <f t="shared" si="13"/>
        <v>7032.288780487802</v>
      </c>
      <c r="H19" s="10">
        <f t="shared" si="13"/>
        <v>7313.580331707313</v>
      </c>
      <c r="I19" s="10">
        <f t="shared" si="13"/>
        <v>7606.123544975611</v>
      </c>
      <c r="J19" s="1">
        <f t="shared" si="13"/>
        <v>7910.368486774633</v>
      </c>
      <c r="K19" s="2">
        <f t="shared" si="13"/>
        <v>8226.78322624562</v>
      </c>
      <c r="L19" s="2">
        <f t="shared" si="13"/>
        <v>8555.854555295446</v>
      </c>
      <c r="M19" s="42">
        <f t="shared" si="13"/>
        <v>8898.088737507262</v>
      </c>
      <c r="N19" s="2">
        <f t="shared" si="13"/>
        <v>9254.012287007554</v>
      </c>
      <c r="O19" s="2">
        <f t="shared" si="13"/>
        <v>9624.172778487859</v>
      </c>
      <c r="P19" s="2">
        <f t="shared" si="13"/>
        <v>10009.13968962738</v>
      </c>
      <c r="Q19" s="2">
        <f t="shared" si="13"/>
        <v>10409.50527721248</v>
      </c>
      <c r="R19" s="2">
        <f t="shared" si="13"/>
        <v>10825.885488300974</v>
      </c>
      <c r="S19" s="2">
        <f t="shared" si="13"/>
        <v>11258.920907833013</v>
      </c>
      <c r="T19" s="2">
        <f t="shared" si="13"/>
        <v>11709.27774414633</v>
      </c>
      <c r="U19" s="2">
        <f t="shared" si="13"/>
        <v>12177.648853912186</v>
      </c>
      <c r="V19" s="2">
        <f t="shared" si="13"/>
        <v>12664.754808068665</v>
      </c>
      <c r="W19" s="2">
        <f t="shared" si="13"/>
        <v>13171.34500039141</v>
      </c>
      <c r="X19" s="2">
        <f t="shared" si="13"/>
        <v>13698.198800407064</v>
      </c>
      <c r="Y19" s="2">
        <f t="shared" si="13"/>
        <v>14246.126752423354</v>
      </c>
      <c r="Z19" s="2">
        <f t="shared" si="13"/>
        <v>14815.971822520281</v>
      </c>
      <c r="AA19" s="2">
        <f t="shared" si="13"/>
        <v>15408.610695421094</v>
      </c>
      <c r="AB19" s="2">
        <f t="shared" si="13"/>
        <v>16024.955123237938</v>
      </c>
    </row>
    <row r="20" spans="1:28" s="31" customFormat="1" ht="10.5" customHeight="1">
      <c r="A20" s="61">
        <v>22</v>
      </c>
      <c r="B20" s="58"/>
      <c r="C20" s="58" t="s">
        <v>18</v>
      </c>
      <c r="D20" s="58"/>
      <c r="E20" s="59">
        <f aca="true" t="shared" si="14" ref="E20:AB20">E18-E19</f>
        <v>10082.01121562815</v>
      </c>
      <c r="F20" s="59">
        <f t="shared" si="14"/>
        <v>11473.44655182473</v>
      </c>
      <c r="G20" s="59">
        <f t="shared" si="14"/>
        <v>13059.964878048777</v>
      </c>
      <c r="H20" s="59">
        <f t="shared" si="14"/>
        <v>13582.363473170726</v>
      </c>
      <c r="I20" s="59">
        <f t="shared" si="14"/>
        <v>14125.658012097565</v>
      </c>
      <c r="J20" s="59">
        <f t="shared" si="14"/>
        <v>14690.684332581463</v>
      </c>
      <c r="K20" s="58">
        <f t="shared" si="14"/>
        <v>15278.311705884726</v>
      </c>
      <c r="L20" s="58">
        <f t="shared" si="14"/>
        <v>15889.444174120115</v>
      </c>
      <c r="M20" s="63">
        <f t="shared" si="14"/>
        <v>16525.021941084917</v>
      </c>
      <c r="N20" s="58">
        <f t="shared" si="14"/>
        <v>17186.022818728317</v>
      </c>
      <c r="O20" s="58">
        <f t="shared" si="14"/>
        <v>17873.46373147745</v>
      </c>
      <c r="P20" s="58">
        <f t="shared" si="14"/>
        <v>18588.402280736565</v>
      </c>
      <c r="Q20" s="58">
        <f t="shared" si="14"/>
        <v>19331.938371966036</v>
      </c>
      <c r="R20" s="58">
        <f t="shared" si="14"/>
        <v>20105.215906844667</v>
      </c>
      <c r="S20" s="58">
        <f t="shared" si="14"/>
        <v>20909.424543118454</v>
      </c>
      <c r="T20" s="58">
        <f t="shared" si="14"/>
        <v>21745.801524843188</v>
      </c>
      <c r="U20" s="58">
        <f t="shared" si="14"/>
        <v>22615.63358583692</v>
      </c>
      <c r="V20" s="58">
        <f t="shared" si="14"/>
        <v>23520.25892927038</v>
      </c>
      <c r="W20" s="58">
        <f t="shared" si="14"/>
        <v>24461.06928644119</v>
      </c>
      <c r="X20" s="58">
        <f t="shared" si="14"/>
        <v>25439.512057898835</v>
      </c>
      <c r="Y20" s="58">
        <f t="shared" si="14"/>
        <v>26457.0925402148</v>
      </c>
      <c r="Z20" s="58">
        <f t="shared" si="14"/>
        <v>27515.376241823382</v>
      </c>
      <c r="AA20" s="58">
        <f t="shared" si="14"/>
        <v>28615.99129149632</v>
      </c>
      <c r="AB20" s="58">
        <f t="shared" si="14"/>
        <v>29760.630943156175</v>
      </c>
    </row>
    <row r="21" spans="1:28" ht="10.5" customHeight="1">
      <c r="A21" s="20"/>
      <c r="E21" s="10"/>
      <c r="F21" s="10"/>
      <c r="G21" s="10"/>
      <c r="H21" s="10"/>
      <c r="I21" s="10"/>
      <c r="J21" s="1"/>
      <c r="K21" s="2"/>
      <c r="L21" s="2"/>
      <c r="M21" s="4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0.5" customHeight="1">
      <c r="A22" s="20" t="s">
        <v>19</v>
      </c>
      <c r="D22" s="23">
        <v>0</v>
      </c>
      <c r="E22" s="24">
        <v>1</v>
      </c>
      <c r="F22" s="24">
        <f aca="true" t="shared" si="15" ref="F22:AB22">E22+1</f>
        <v>2</v>
      </c>
      <c r="G22" s="24">
        <f t="shared" si="15"/>
        <v>3</v>
      </c>
      <c r="H22" s="24">
        <f t="shared" si="15"/>
        <v>4</v>
      </c>
      <c r="I22" s="24">
        <f t="shared" si="15"/>
        <v>5</v>
      </c>
      <c r="J22" s="24">
        <f t="shared" si="15"/>
        <v>6</v>
      </c>
      <c r="K22" s="23">
        <f t="shared" si="15"/>
        <v>7</v>
      </c>
      <c r="L22" s="23">
        <f t="shared" si="15"/>
        <v>8</v>
      </c>
      <c r="M22" s="47">
        <f t="shared" si="15"/>
        <v>9</v>
      </c>
      <c r="N22" s="23">
        <f t="shared" si="15"/>
        <v>10</v>
      </c>
      <c r="O22" s="23">
        <f t="shared" si="15"/>
        <v>11</v>
      </c>
      <c r="P22" s="23">
        <f t="shared" si="15"/>
        <v>12</v>
      </c>
      <c r="Q22" s="23">
        <f t="shared" si="15"/>
        <v>13</v>
      </c>
      <c r="R22" s="23">
        <f t="shared" si="15"/>
        <v>14</v>
      </c>
      <c r="S22" s="23">
        <f t="shared" si="15"/>
        <v>15</v>
      </c>
      <c r="T22" s="23">
        <f t="shared" si="15"/>
        <v>16</v>
      </c>
      <c r="U22" s="23">
        <f t="shared" si="15"/>
        <v>17</v>
      </c>
      <c r="V22" s="23">
        <f t="shared" si="15"/>
        <v>18</v>
      </c>
      <c r="W22" s="23">
        <f t="shared" si="15"/>
        <v>19</v>
      </c>
      <c r="X22" s="23">
        <f t="shared" si="15"/>
        <v>20</v>
      </c>
      <c r="Y22" s="23">
        <f t="shared" si="15"/>
        <v>21</v>
      </c>
      <c r="Z22" s="23">
        <f t="shared" si="15"/>
        <v>22</v>
      </c>
      <c r="AA22" s="23">
        <f t="shared" si="15"/>
        <v>23</v>
      </c>
      <c r="AB22" s="23">
        <f t="shared" si="15"/>
        <v>24</v>
      </c>
    </row>
    <row r="23" spans="1:28" s="30" customFormat="1" ht="10.5" customHeight="1">
      <c r="A23" s="60">
        <v>22</v>
      </c>
      <c r="B23" s="57"/>
      <c r="C23" s="57" t="s">
        <v>18</v>
      </c>
      <c r="D23" s="57"/>
      <c r="E23" s="59">
        <f aca="true" t="shared" si="16" ref="E23:AB23">E20</f>
        <v>10082.01121562815</v>
      </c>
      <c r="F23" s="59">
        <f t="shared" si="16"/>
        <v>11473.44655182473</v>
      </c>
      <c r="G23" s="59">
        <f t="shared" si="16"/>
        <v>13059.964878048777</v>
      </c>
      <c r="H23" s="59">
        <f t="shared" si="16"/>
        <v>13582.363473170726</v>
      </c>
      <c r="I23" s="59">
        <f t="shared" si="16"/>
        <v>14125.658012097565</v>
      </c>
      <c r="J23" s="59">
        <f t="shared" si="16"/>
        <v>14690.684332581463</v>
      </c>
      <c r="K23" s="57">
        <f t="shared" si="16"/>
        <v>15278.311705884726</v>
      </c>
      <c r="L23" s="57">
        <f t="shared" si="16"/>
        <v>15889.444174120115</v>
      </c>
      <c r="M23" s="57">
        <f t="shared" si="16"/>
        <v>16525.021941084917</v>
      </c>
      <c r="N23" s="57">
        <f t="shared" si="16"/>
        <v>17186.022818728317</v>
      </c>
      <c r="O23" s="57">
        <f t="shared" si="16"/>
        <v>17873.46373147745</v>
      </c>
      <c r="P23" s="57">
        <f t="shared" si="16"/>
        <v>18588.402280736565</v>
      </c>
      <c r="Q23" s="57">
        <f t="shared" si="16"/>
        <v>19331.938371966036</v>
      </c>
      <c r="R23" s="57">
        <f t="shared" si="16"/>
        <v>20105.215906844667</v>
      </c>
      <c r="S23" s="57">
        <f t="shared" si="16"/>
        <v>20909.424543118454</v>
      </c>
      <c r="T23" s="57">
        <f t="shared" si="16"/>
        <v>21745.801524843188</v>
      </c>
      <c r="U23" s="57">
        <f t="shared" si="16"/>
        <v>22615.63358583692</v>
      </c>
      <c r="V23" s="57">
        <f t="shared" si="16"/>
        <v>23520.25892927038</v>
      </c>
      <c r="W23" s="57">
        <f t="shared" si="16"/>
        <v>24461.06928644119</v>
      </c>
      <c r="X23" s="57">
        <f t="shared" si="16"/>
        <v>25439.512057898835</v>
      </c>
      <c r="Y23" s="57">
        <f t="shared" si="16"/>
        <v>26457.0925402148</v>
      </c>
      <c r="Z23" s="57">
        <f t="shared" si="16"/>
        <v>27515.376241823382</v>
      </c>
      <c r="AA23" s="57">
        <f t="shared" si="16"/>
        <v>28615.99129149632</v>
      </c>
      <c r="AB23" s="57">
        <f t="shared" si="16"/>
        <v>29760.630943156175</v>
      </c>
    </row>
    <row r="24" spans="1:28" ht="10.5" customHeight="1">
      <c r="A24" s="36">
        <v>23</v>
      </c>
      <c r="C24" s="7" t="s">
        <v>20</v>
      </c>
      <c r="E24" s="10">
        <f>E15</f>
        <v>10000</v>
      </c>
      <c r="F24" s="10">
        <f aca="true" t="shared" si="17" ref="F24:AB24">F15</f>
        <v>11200.000000000002</v>
      </c>
      <c r="G24" s="10">
        <f t="shared" si="17"/>
        <v>12544.000000000004</v>
      </c>
      <c r="H24" s="10">
        <f t="shared" si="17"/>
        <v>13045.760000000004</v>
      </c>
      <c r="I24" s="10">
        <f t="shared" si="17"/>
        <v>13567.590400000005</v>
      </c>
      <c r="J24" s="1">
        <f t="shared" si="17"/>
        <v>14110.294016000005</v>
      </c>
      <c r="K24" s="2">
        <f t="shared" si="17"/>
        <v>14674.705776640007</v>
      </c>
      <c r="L24" s="2">
        <f t="shared" si="17"/>
        <v>15261.694007705608</v>
      </c>
      <c r="M24" s="42">
        <f t="shared" si="17"/>
        <v>15872.161768013833</v>
      </c>
      <c r="N24" s="2">
        <f t="shared" si="17"/>
        <v>16507.048238734387</v>
      </c>
      <c r="O24" s="2">
        <f t="shared" si="17"/>
        <v>17167.330168283763</v>
      </c>
      <c r="P24" s="2">
        <f t="shared" si="17"/>
        <v>17854.023375015113</v>
      </c>
      <c r="Q24" s="2">
        <f t="shared" si="17"/>
        <v>18568.184310015717</v>
      </c>
      <c r="R24" s="2">
        <f t="shared" si="17"/>
        <v>19310.911682416347</v>
      </c>
      <c r="S24" s="2">
        <f t="shared" si="17"/>
        <v>20083.348149713</v>
      </c>
      <c r="T24" s="2">
        <f t="shared" si="17"/>
        <v>20886.682075701523</v>
      </c>
      <c r="U24" s="2">
        <f t="shared" si="17"/>
        <v>21722.149358729584</v>
      </c>
      <c r="V24" s="2">
        <f t="shared" si="17"/>
        <v>22591.03533307877</v>
      </c>
      <c r="W24" s="2">
        <f t="shared" si="17"/>
        <v>23494.67674640192</v>
      </c>
      <c r="X24" s="2">
        <f t="shared" si="17"/>
        <v>24434.463816257998</v>
      </c>
      <c r="Y24" s="2">
        <f t="shared" si="17"/>
        <v>25411.842368908317</v>
      </c>
      <c r="Z24" s="2">
        <f t="shared" si="17"/>
        <v>26428.31606366465</v>
      </c>
      <c r="AA24" s="2">
        <f t="shared" si="17"/>
        <v>27485.44870621124</v>
      </c>
      <c r="AB24" s="2">
        <f t="shared" si="17"/>
        <v>28584.86665445969</v>
      </c>
    </row>
    <row r="25" spans="1:28" ht="10.5" customHeight="1">
      <c r="A25" s="36">
        <v>24</v>
      </c>
      <c r="C25" s="71" t="s">
        <v>21</v>
      </c>
      <c r="E25" s="7">
        <f aca="true" t="shared" si="18" ref="E25:AB25">E41-D41</f>
        <v>2881.4472445028878</v>
      </c>
      <c r="F25" s="11">
        <f t="shared" si="18"/>
        <v>2746.6952782214066</v>
      </c>
      <c r="G25" s="11">
        <f t="shared" si="18"/>
        <v>2220.3317073170765</v>
      </c>
      <c r="H25" s="11">
        <f t="shared" si="18"/>
        <v>2309.1449756097572</v>
      </c>
      <c r="I25" s="11">
        <f t="shared" si="18"/>
        <v>2401.5107746341528</v>
      </c>
      <c r="J25" s="2">
        <f t="shared" si="18"/>
        <v>2497.571205619519</v>
      </c>
      <c r="K25" s="2">
        <f t="shared" si="18"/>
        <v>2597.4740538443</v>
      </c>
      <c r="L25" s="2">
        <f t="shared" si="18"/>
        <v>2701.373015998077</v>
      </c>
      <c r="M25" s="42">
        <f t="shared" si="18"/>
        <v>2809.4279366379924</v>
      </c>
      <c r="N25" s="2">
        <f t="shared" si="18"/>
        <v>2921.805054103519</v>
      </c>
      <c r="O25" s="2">
        <f t="shared" si="18"/>
        <v>3038.6772562676488</v>
      </c>
      <c r="P25" s="2">
        <f t="shared" si="18"/>
        <v>3160.2243465183565</v>
      </c>
      <c r="Q25" s="2">
        <f t="shared" si="18"/>
        <v>3286.6333203791</v>
      </c>
      <c r="R25" s="2">
        <f t="shared" si="18"/>
        <v>3418.0986531942617</v>
      </c>
      <c r="S25" s="2">
        <f t="shared" si="18"/>
        <v>3554.822599322026</v>
      </c>
      <c r="T25" s="2">
        <f t="shared" si="18"/>
        <v>3697.0155032949115</v>
      </c>
      <c r="U25" s="2">
        <f t="shared" si="18"/>
        <v>3844.8961234267044</v>
      </c>
      <c r="V25" s="2">
        <f t="shared" si="18"/>
        <v>3998.691968363768</v>
      </c>
      <c r="W25" s="2">
        <f t="shared" si="18"/>
        <v>4158.639647098331</v>
      </c>
      <c r="X25" s="2">
        <f t="shared" si="18"/>
        <v>4324.985232982261</v>
      </c>
      <c r="Y25" s="2">
        <f t="shared" si="18"/>
        <v>4497.984642301555</v>
      </c>
      <c r="Z25" s="2">
        <f t="shared" si="18"/>
        <v>4677.904027993616</v>
      </c>
      <c r="AA25" s="2">
        <f t="shared" si="18"/>
        <v>4865.020189113362</v>
      </c>
      <c r="AB25" s="2">
        <f t="shared" si="18"/>
        <v>5059.620996677899</v>
      </c>
    </row>
    <row r="26" spans="1:28" ht="10.5" customHeight="1">
      <c r="A26" s="36">
        <v>25</v>
      </c>
      <c r="C26" s="71" t="s">
        <v>22</v>
      </c>
      <c r="E26" s="10">
        <f>D5-E5</f>
        <v>-900</v>
      </c>
      <c r="F26" s="10">
        <f aca="true" t="shared" si="19" ref="F26:AB26">E5-F5</f>
        <v>-1008</v>
      </c>
      <c r="G26" s="10">
        <f t="shared" si="19"/>
        <v>-376.3199999999997</v>
      </c>
      <c r="H26" s="10">
        <f t="shared" si="19"/>
        <v>-391.372800000001</v>
      </c>
      <c r="I26" s="10">
        <f t="shared" si="19"/>
        <v>-407.027712000001</v>
      </c>
      <c r="J26" s="10">
        <f t="shared" si="19"/>
        <v>-423.3088204800006</v>
      </c>
      <c r="K26" s="10">
        <f t="shared" si="19"/>
        <v>-440.24117329920045</v>
      </c>
      <c r="L26" s="10">
        <f t="shared" si="19"/>
        <v>-457.85082023116775</v>
      </c>
      <c r="M26" s="10">
        <f t="shared" si="19"/>
        <v>-476.1648530404145</v>
      </c>
      <c r="N26" s="10">
        <f t="shared" si="19"/>
        <v>-495.2114471620316</v>
      </c>
      <c r="O26" s="10">
        <f t="shared" si="19"/>
        <v>-515.0199050485135</v>
      </c>
      <c r="P26" s="10">
        <f t="shared" si="19"/>
        <v>-535.6207012504528</v>
      </c>
      <c r="Q26" s="10">
        <f t="shared" si="19"/>
        <v>-557.0455293004725</v>
      </c>
      <c r="R26" s="10">
        <f t="shared" si="19"/>
        <v>-579.3273504724912</v>
      </c>
      <c r="S26" s="10">
        <f t="shared" si="19"/>
        <v>-602.5004444913902</v>
      </c>
      <c r="T26" s="10">
        <f t="shared" si="19"/>
        <v>-626.6004622710461</v>
      </c>
      <c r="U26" s="10">
        <f t="shared" si="19"/>
        <v>-651.6644807618886</v>
      </c>
      <c r="V26" s="10">
        <f t="shared" si="19"/>
        <v>-677.7310599923621</v>
      </c>
      <c r="W26" s="10">
        <f t="shared" si="19"/>
        <v>-704.8403023920582</v>
      </c>
      <c r="X26" s="10">
        <f t="shared" si="19"/>
        <v>-733.0339144877398</v>
      </c>
      <c r="Y26" s="10">
        <f t="shared" si="19"/>
        <v>-762.3552710672484</v>
      </c>
      <c r="Z26" s="10">
        <f t="shared" si="19"/>
        <v>-792.8494819099396</v>
      </c>
      <c r="AA26" s="10">
        <f t="shared" si="19"/>
        <v>-824.5634611863388</v>
      </c>
      <c r="AB26" s="10">
        <f t="shared" si="19"/>
        <v>-857.5459996337922</v>
      </c>
    </row>
    <row r="27" spans="1:28" ht="10.5" customHeight="1">
      <c r="A27" s="36">
        <v>26</v>
      </c>
      <c r="C27" s="7" t="s">
        <v>23</v>
      </c>
      <c r="E27" s="7">
        <f aca="true" t="shared" si="20" ref="E27:AB27">-E15</f>
        <v>-10000</v>
      </c>
      <c r="F27" s="7">
        <f t="shared" si="20"/>
        <v>-11200.000000000002</v>
      </c>
      <c r="G27" s="7">
        <f t="shared" si="20"/>
        <v>-12544.000000000004</v>
      </c>
      <c r="H27" s="7">
        <f t="shared" si="20"/>
        <v>-13045.760000000004</v>
      </c>
      <c r="I27" s="7">
        <f t="shared" si="20"/>
        <v>-13567.590400000005</v>
      </c>
      <c r="J27" s="7">
        <f t="shared" si="20"/>
        <v>-14110.294016000005</v>
      </c>
      <c r="K27" s="7">
        <f t="shared" si="20"/>
        <v>-14674.705776640007</v>
      </c>
      <c r="L27" s="7">
        <f t="shared" si="20"/>
        <v>-15261.694007705608</v>
      </c>
      <c r="M27" s="7">
        <f t="shared" si="20"/>
        <v>-15872.161768013833</v>
      </c>
      <c r="N27" s="7">
        <f t="shared" si="20"/>
        <v>-16507.048238734387</v>
      </c>
      <c r="O27" s="7">
        <f t="shared" si="20"/>
        <v>-17167.330168283763</v>
      </c>
      <c r="P27" s="7">
        <f t="shared" si="20"/>
        <v>-17854.023375015113</v>
      </c>
      <c r="Q27" s="7">
        <f t="shared" si="20"/>
        <v>-18568.184310015717</v>
      </c>
      <c r="R27" s="7">
        <f t="shared" si="20"/>
        <v>-19310.911682416347</v>
      </c>
      <c r="S27" s="7">
        <f t="shared" si="20"/>
        <v>-20083.348149713</v>
      </c>
      <c r="T27" s="7">
        <f t="shared" si="20"/>
        <v>-20886.682075701523</v>
      </c>
      <c r="U27" s="7">
        <f t="shared" si="20"/>
        <v>-21722.149358729584</v>
      </c>
      <c r="V27" s="7">
        <f t="shared" si="20"/>
        <v>-22591.03533307877</v>
      </c>
      <c r="W27" s="7">
        <f t="shared" si="20"/>
        <v>-23494.67674640192</v>
      </c>
      <c r="X27" s="7">
        <f t="shared" si="20"/>
        <v>-24434.463816257998</v>
      </c>
      <c r="Y27" s="7">
        <f t="shared" si="20"/>
        <v>-25411.842368908317</v>
      </c>
      <c r="Z27" s="7">
        <f t="shared" si="20"/>
        <v>-26428.31606366465</v>
      </c>
      <c r="AA27" s="7">
        <f t="shared" si="20"/>
        <v>-27485.44870621124</v>
      </c>
      <c r="AB27" s="7">
        <f t="shared" si="20"/>
        <v>-28584.86665445969</v>
      </c>
    </row>
    <row r="28" spans="1:28" s="8" customFormat="1" ht="10.5" customHeight="1">
      <c r="A28" s="61">
        <v>27</v>
      </c>
      <c r="B28" s="54"/>
      <c r="C28" s="58" t="s">
        <v>24</v>
      </c>
      <c r="D28" s="54"/>
      <c r="E28" s="59">
        <f aca="true" t="shared" si="21" ref="E28:AB28">E20+E24+E27+E25+E26</f>
        <v>12063.458460131038</v>
      </c>
      <c r="F28" s="59">
        <f t="shared" si="21"/>
        <v>13212.141830046136</v>
      </c>
      <c r="G28" s="59">
        <f t="shared" si="21"/>
        <v>14903.976585365854</v>
      </c>
      <c r="H28" s="59">
        <f t="shared" si="21"/>
        <v>15500.135648780482</v>
      </c>
      <c r="I28" s="58">
        <f t="shared" si="21"/>
        <v>16120.141074731719</v>
      </c>
      <c r="J28" s="58">
        <f t="shared" si="21"/>
        <v>16764.94671772098</v>
      </c>
      <c r="K28" s="58">
        <f t="shared" si="21"/>
        <v>17435.544586429824</v>
      </c>
      <c r="L28" s="58">
        <f t="shared" si="21"/>
        <v>18132.966369887024</v>
      </c>
      <c r="M28" s="63">
        <f t="shared" si="21"/>
        <v>18858.285024682496</v>
      </c>
      <c r="N28" s="58">
        <f t="shared" si="21"/>
        <v>19612.616425669803</v>
      </c>
      <c r="O28" s="58">
        <f t="shared" si="21"/>
        <v>20397.121082696587</v>
      </c>
      <c r="P28" s="58">
        <f t="shared" si="21"/>
        <v>21213.00592600447</v>
      </c>
      <c r="Q28" s="58">
        <f t="shared" si="21"/>
        <v>22061.526163044662</v>
      </c>
      <c r="R28" s="58">
        <f t="shared" si="21"/>
        <v>22943.98720956644</v>
      </c>
      <c r="S28" s="58">
        <f t="shared" si="21"/>
        <v>23861.746697949086</v>
      </c>
      <c r="T28" s="58">
        <f t="shared" si="21"/>
        <v>24816.216565867056</v>
      </c>
      <c r="U28" s="58">
        <f t="shared" si="21"/>
        <v>25808.865228501738</v>
      </c>
      <c r="V28" s="58">
        <f t="shared" si="21"/>
        <v>26841.21983764179</v>
      </c>
      <c r="W28" s="58">
        <f t="shared" si="21"/>
        <v>27914.868631147463</v>
      </c>
      <c r="X28" s="58">
        <f t="shared" si="21"/>
        <v>29031.46337639336</v>
      </c>
      <c r="Y28" s="58">
        <f t="shared" si="21"/>
        <v>30192.7219114491</v>
      </c>
      <c r="Z28" s="58">
        <f t="shared" si="21"/>
        <v>31400.43078790706</v>
      </c>
      <c r="AA28" s="58">
        <f t="shared" si="21"/>
        <v>32656.448019423344</v>
      </c>
      <c r="AB28" s="58">
        <f t="shared" si="21"/>
        <v>33962.70594020028</v>
      </c>
    </row>
    <row r="29" spans="1:28" s="31" customFormat="1" ht="10.5" customHeight="1">
      <c r="A29" s="61">
        <v>28</v>
      </c>
      <c r="B29" s="58"/>
      <c r="C29" s="58" t="s">
        <v>25</v>
      </c>
      <c r="D29" s="58"/>
      <c r="E29" s="59">
        <f aca="true" t="shared" si="22" ref="E29:AB29">E28+E17*(1-$B68)-E25</f>
        <v>12100.000000000002</v>
      </c>
      <c r="F29" s="59">
        <f t="shared" si="22"/>
        <v>13552</v>
      </c>
      <c r="G29" s="59">
        <f t="shared" si="22"/>
        <v>15930.880000000001</v>
      </c>
      <c r="H29" s="59">
        <f t="shared" si="22"/>
        <v>16568.115199999997</v>
      </c>
      <c r="I29" s="58">
        <f t="shared" si="22"/>
        <v>17230.839808000008</v>
      </c>
      <c r="J29" s="58">
        <f t="shared" si="22"/>
        <v>17920.07340032</v>
      </c>
      <c r="K29" s="58">
        <f t="shared" si="22"/>
        <v>18636.876336332803</v>
      </c>
      <c r="L29" s="58">
        <f t="shared" si="22"/>
        <v>19382.351389786123</v>
      </c>
      <c r="M29" s="63">
        <f t="shared" si="22"/>
        <v>20157.645445377566</v>
      </c>
      <c r="N29" s="58">
        <f t="shared" si="22"/>
        <v>20963.951263192666</v>
      </c>
      <c r="O29" s="58">
        <f t="shared" si="22"/>
        <v>21802.509313720377</v>
      </c>
      <c r="P29" s="58">
        <f t="shared" si="22"/>
        <v>22674.60968626921</v>
      </c>
      <c r="Q29" s="58">
        <f t="shared" si="22"/>
        <v>23581.59407371998</v>
      </c>
      <c r="R29" s="58">
        <f t="shared" si="22"/>
        <v>24524.857836668776</v>
      </c>
      <c r="S29" s="58">
        <f t="shared" si="22"/>
        <v>25505.85215013552</v>
      </c>
      <c r="T29" s="58">
        <f t="shared" si="22"/>
        <v>26526.086236140945</v>
      </c>
      <c r="U29" s="58">
        <f t="shared" si="22"/>
        <v>27587.129685586588</v>
      </c>
      <c r="V29" s="58">
        <f t="shared" si="22"/>
        <v>28690.61487301004</v>
      </c>
      <c r="W29" s="58">
        <f t="shared" si="22"/>
        <v>29838.239467930427</v>
      </c>
      <c r="X29" s="58">
        <f t="shared" si="22"/>
        <v>31031.76904664765</v>
      </c>
      <c r="Y29" s="58">
        <f t="shared" si="22"/>
        <v>32273.039808513553</v>
      </c>
      <c r="Z29" s="58">
        <f t="shared" si="22"/>
        <v>33563.961400854096</v>
      </c>
      <c r="AA29" s="58">
        <f t="shared" si="22"/>
        <v>34906.51985688826</v>
      </c>
      <c r="AB29" s="58">
        <f t="shared" si="22"/>
        <v>36302.78065116379</v>
      </c>
    </row>
    <row r="30" spans="1:28" ht="10.5" customHeight="1">
      <c r="A30" s="36"/>
      <c r="C30" s="26"/>
      <c r="D30" s="26"/>
      <c r="E30" s="29"/>
      <c r="F30" s="29"/>
      <c r="G30" s="29"/>
      <c r="H30" s="29"/>
      <c r="I30" s="29"/>
      <c r="J30" s="29"/>
      <c r="K30" s="29"/>
      <c r="L30" s="29"/>
      <c r="M30" s="50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0.5" customHeight="1">
      <c r="A31" s="36">
        <v>33</v>
      </c>
      <c r="C31" s="26" t="s">
        <v>26</v>
      </c>
      <c r="D31" s="27">
        <f aca="true" t="shared" si="23" ref="D31:AB31">D57/D11</f>
        <v>1.2985147557252172</v>
      </c>
      <c r="E31" s="27">
        <f t="shared" si="23"/>
        <v>1.4224419180941608</v>
      </c>
      <c r="F31" s="27">
        <f t="shared" si="23"/>
        <v>1.5447660696003094</v>
      </c>
      <c r="G31" s="27">
        <f t="shared" si="23"/>
        <v>1.6634670917658523</v>
      </c>
      <c r="H31" s="27">
        <f t="shared" si="23"/>
        <v>1.7961783791772785</v>
      </c>
      <c r="I31" s="27">
        <f t="shared" si="23"/>
        <v>1.9454139440078546</v>
      </c>
      <c r="J31" s="27">
        <f t="shared" si="23"/>
        <v>2.1143263517429687</v>
      </c>
      <c r="K31" s="27">
        <f t="shared" si="23"/>
        <v>2.306923272389928</v>
      </c>
      <c r="L31" s="27">
        <f t="shared" si="23"/>
        <v>2.5283785722344096</v>
      </c>
      <c r="M31" s="49">
        <f t="shared" si="23"/>
        <v>2.7854898775805057</v>
      </c>
      <c r="N31" s="27">
        <f t="shared" si="23"/>
        <v>3.0873699193058783</v>
      </c>
      <c r="O31" s="27">
        <f t="shared" si="23"/>
        <v>3.446523980891036</v>
      </c>
      <c r="P31" s="27">
        <f t="shared" si="23"/>
        <v>3.880590839720988</v>
      </c>
      <c r="Q31" s="27">
        <f t="shared" si="23"/>
        <v>4.415278395940273</v>
      </c>
      <c r="R31" s="27">
        <f t="shared" si="23"/>
        <v>4.04970704588416</v>
      </c>
      <c r="S31" s="27">
        <f t="shared" si="23"/>
        <v>4.536959308247095</v>
      </c>
      <c r="T31" s="27">
        <f t="shared" si="23"/>
        <v>5.142083910554029</v>
      </c>
      <c r="U31" s="27">
        <f t="shared" si="23"/>
        <v>5.926950435455322</v>
      </c>
      <c r="V31" s="27">
        <f t="shared" si="23"/>
        <v>7.016425935942572</v>
      </c>
      <c r="W31" s="27">
        <f t="shared" si="23"/>
        <v>8.712372570140932</v>
      </c>
      <c r="X31" s="27">
        <f t="shared" si="23"/>
        <v>11.999723337147707</v>
      </c>
      <c r="Y31" s="27">
        <f t="shared" si="23"/>
        <v>23.136326240666218</v>
      </c>
      <c r="Z31" s="27">
        <f t="shared" si="23"/>
        <v>-49.08479727232826</v>
      </c>
      <c r="AA31" s="27">
        <f t="shared" si="23"/>
        <v>-5.515006002259968</v>
      </c>
      <c r="AB31" s="27">
        <f t="shared" si="23"/>
        <v>0</v>
      </c>
    </row>
    <row r="32" spans="1:28" ht="10.5" customHeight="1">
      <c r="A32" s="36">
        <v>34</v>
      </c>
      <c r="C32" s="26" t="s">
        <v>27</v>
      </c>
      <c r="D32" s="27">
        <f aca="true" t="shared" si="24" ref="D32:AA32">D57/E20</f>
        <v>7.421160683123914</v>
      </c>
      <c r="E32" s="27">
        <f t="shared" si="24"/>
        <v>6.897874649049189</v>
      </c>
      <c r="F32" s="27">
        <f t="shared" si="24"/>
        <v>6.375395324710097</v>
      </c>
      <c r="G32" s="27">
        <f t="shared" si="24"/>
        <v>6.375395324710099</v>
      </c>
      <c r="H32" s="27">
        <f t="shared" si="24"/>
        <v>6.375395324710096</v>
      </c>
      <c r="I32" s="27">
        <f t="shared" si="24"/>
        <v>6.3753953247101</v>
      </c>
      <c r="J32" s="27">
        <f t="shared" si="24"/>
        <v>6.375395324710098</v>
      </c>
      <c r="K32" s="27">
        <f t="shared" si="24"/>
        <v>6.375395324710098</v>
      </c>
      <c r="L32" s="27">
        <f t="shared" si="24"/>
        <v>6.3753953247101</v>
      </c>
      <c r="M32" s="49">
        <f t="shared" si="24"/>
        <v>6.375395324710098</v>
      </c>
      <c r="N32" s="27">
        <f t="shared" si="24"/>
        <v>6.375395324710097</v>
      </c>
      <c r="O32" s="27">
        <f t="shared" si="24"/>
        <v>6.375395324710093</v>
      </c>
      <c r="P32" s="27">
        <f t="shared" si="24"/>
        <v>6.375395324710091</v>
      </c>
      <c r="Q32" s="27">
        <f t="shared" si="24"/>
        <v>6.375395324710092</v>
      </c>
      <c r="R32" s="27">
        <f t="shared" si="24"/>
        <v>5.072818171784981</v>
      </c>
      <c r="S32" s="27">
        <f t="shared" si="24"/>
        <v>4.848624604118062</v>
      </c>
      <c r="T32" s="27">
        <f t="shared" si="24"/>
        <v>4.585843874323855</v>
      </c>
      <c r="U32" s="27">
        <f t="shared" si="24"/>
        <v>4.277834538151611</v>
      </c>
      <c r="V32" s="27">
        <f t="shared" si="24"/>
        <v>3.9168120566189493</v>
      </c>
      <c r="W32" s="27">
        <f t="shared" si="24"/>
        <v>3.4936520518224934</v>
      </c>
      <c r="X32" s="27">
        <f t="shared" si="24"/>
        <v>2.9976597000466456</v>
      </c>
      <c r="Y32" s="27">
        <f t="shared" si="24"/>
        <v>2.41629943387861</v>
      </c>
      <c r="Z32" s="27">
        <f t="shared" si="24"/>
        <v>1.7348781218989593</v>
      </c>
      <c r="AA32" s="27">
        <f t="shared" si="24"/>
        <v>0.9361737187228116</v>
      </c>
      <c r="AB32" s="27"/>
    </row>
    <row r="33" spans="1:13" ht="10.5" customHeight="1">
      <c r="A33" s="36"/>
      <c r="B33" s="23"/>
      <c r="C33" s="21"/>
      <c r="D33" s="21"/>
      <c r="E33" s="23"/>
      <c r="F33" s="20"/>
      <c r="G33" s="23"/>
      <c r="H33" s="22"/>
      <c r="M33" s="41"/>
    </row>
    <row r="34" spans="1:28" ht="12" customHeight="1">
      <c r="A34" s="36">
        <v>37</v>
      </c>
      <c r="C34" s="7" t="s">
        <v>28</v>
      </c>
      <c r="D34" s="9">
        <v>1.5</v>
      </c>
      <c r="E34" s="9">
        <v>1.5</v>
      </c>
      <c r="F34" s="9">
        <v>1.5</v>
      </c>
      <c r="G34" s="9">
        <v>1.5</v>
      </c>
      <c r="H34" s="9">
        <v>1.5</v>
      </c>
      <c r="I34" s="9">
        <v>1.5</v>
      </c>
      <c r="J34" s="9">
        <v>1.5</v>
      </c>
      <c r="K34" s="9">
        <v>1.5</v>
      </c>
      <c r="L34" s="9">
        <v>1.5</v>
      </c>
      <c r="M34" s="9">
        <v>1.5</v>
      </c>
      <c r="N34" s="9">
        <v>1.5</v>
      </c>
      <c r="O34" s="9">
        <v>1.5</v>
      </c>
      <c r="P34" s="9">
        <v>1.5</v>
      </c>
      <c r="Q34" s="9">
        <v>1.5</v>
      </c>
      <c r="R34" s="9">
        <v>1.5</v>
      </c>
      <c r="S34" s="9">
        <v>1.5</v>
      </c>
      <c r="T34" s="9">
        <v>1.5</v>
      </c>
      <c r="U34" s="9">
        <v>1.5</v>
      </c>
      <c r="V34" s="9">
        <v>1.5</v>
      </c>
      <c r="W34" s="9">
        <v>1.5</v>
      </c>
      <c r="X34" s="9">
        <v>1.5</v>
      </c>
      <c r="Y34" s="9">
        <v>1.5</v>
      </c>
      <c r="Z34" s="9">
        <v>1.5</v>
      </c>
      <c r="AA34" s="9">
        <v>1.5</v>
      </c>
      <c r="AB34" s="9">
        <v>1.5</v>
      </c>
    </row>
    <row r="35" spans="1:28" ht="9.75" customHeight="1">
      <c r="A35" s="36">
        <v>38</v>
      </c>
      <c r="C35" s="7" t="s">
        <v>29</v>
      </c>
      <c r="D35" s="12">
        <v>0.06</v>
      </c>
      <c r="E35" s="12">
        <v>0.06</v>
      </c>
      <c r="F35" s="12">
        <v>0.06</v>
      </c>
      <c r="G35" s="12">
        <v>0.06</v>
      </c>
      <c r="H35" s="12">
        <v>0.06</v>
      </c>
      <c r="I35" s="12">
        <v>0.06</v>
      </c>
      <c r="J35" s="12">
        <v>0.06</v>
      </c>
      <c r="K35" s="12">
        <v>0.06</v>
      </c>
      <c r="L35" s="12">
        <v>0.06</v>
      </c>
      <c r="M35" s="12">
        <v>0.06</v>
      </c>
      <c r="N35" s="12">
        <v>0.06</v>
      </c>
      <c r="O35" s="12">
        <v>0.06</v>
      </c>
      <c r="P35" s="12">
        <v>0.06</v>
      </c>
      <c r="Q35" s="12">
        <v>0.06</v>
      </c>
      <c r="R35" s="12">
        <v>0.06</v>
      </c>
      <c r="S35" s="12">
        <v>0.06</v>
      </c>
      <c r="T35" s="12">
        <v>0.06</v>
      </c>
      <c r="U35" s="12">
        <v>0.06</v>
      </c>
      <c r="V35" s="12">
        <v>0.06</v>
      </c>
      <c r="W35" s="12">
        <v>0.06</v>
      </c>
      <c r="X35" s="12">
        <v>0.06</v>
      </c>
      <c r="Y35" s="12">
        <v>0.06</v>
      </c>
      <c r="Z35" s="12">
        <v>0.06</v>
      </c>
      <c r="AA35" s="12">
        <v>0.06</v>
      </c>
      <c r="AB35" s="12">
        <v>0.06</v>
      </c>
    </row>
    <row r="36" spans="1:28" ht="9.75" customHeight="1">
      <c r="A36" s="36">
        <v>39</v>
      </c>
      <c r="C36" s="7" t="s">
        <v>30</v>
      </c>
      <c r="D36" s="12">
        <v>0.08</v>
      </c>
      <c r="E36" s="12">
        <v>0.08</v>
      </c>
      <c r="F36" s="12">
        <v>0.08</v>
      </c>
      <c r="G36" s="12">
        <v>0.08</v>
      </c>
      <c r="H36" s="12">
        <v>0.08</v>
      </c>
      <c r="I36" s="12">
        <v>0.08</v>
      </c>
      <c r="J36" s="3">
        <v>0.08</v>
      </c>
      <c r="K36" s="3">
        <v>0.08</v>
      </c>
      <c r="L36" s="3">
        <v>0.08</v>
      </c>
      <c r="M36" s="43">
        <v>0.08</v>
      </c>
      <c r="N36" s="3">
        <v>0.08</v>
      </c>
      <c r="O36" s="3">
        <v>0.08</v>
      </c>
      <c r="P36" s="3">
        <v>0.08</v>
      </c>
      <c r="Q36" s="3">
        <v>0.08</v>
      </c>
      <c r="R36" s="3">
        <v>0.08</v>
      </c>
      <c r="S36" s="3">
        <v>0.08</v>
      </c>
      <c r="T36" s="3">
        <v>0.08</v>
      </c>
      <c r="U36" s="3">
        <v>0.08</v>
      </c>
      <c r="V36" s="3">
        <v>0.08</v>
      </c>
      <c r="W36" s="3">
        <v>0.08</v>
      </c>
      <c r="X36" s="3">
        <v>0.08</v>
      </c>
      <c r="Y36" s="3">
        <v>0.08</v>
      </c>
      <c r="Z36" s="3">
        <v>0.08</v>
      </c>
      <c r="AA36" s="3">
        <v>0.08</v>
      </c>
      <c r="AB36" s="3">
        <v>0.08</v>
      </c>
    </row>
    <row r="37" spans="1:28" s="30" customFormat="1" ht="9.75" customHeight="1">
      <c r="A37" s="36">
        <v>40</v>
      </c>
      <c r="C37" s="30" t="s">
        <v>31</v>
      </c>
      <c r="D37" s="33">
        <f aca="true" t="shared" si="25" ref="D37:AB37">D35+D34*D36</f>
        <v>0.18</v>
      </c>
      <c r="E37" s="33">
        <f t="shared" si="25"/>
        <v>0.18</v>
      </c>
      <c r="F37" s="33">
        <f t="shared" si="25"/>
        <v>0.18</v>
      </c>
      <c r="G37" s="33">
        <f t="shared" si="25"/>
        <v>0.18</v>
      </c>
      <c r="H37" s="33">
        <f t="shared" si="25"/>
        <v>0.18</v>
      </c>
      <c r="I37" s="33">
        <f t="shared" si="25"/>
        <v>0.18</v>
      </c>
      <c r="J37" s="33">
        <f t="shared" si="25"/>
        <v>0.18</v>
      </c>
      <c r="K37" s="33">
        <f t="shared" si="25"/>
        <v>0.18</v>
      </c>
      <c r="L37" s="33">
        <f t="shared" si="25"/>
        <v>0.18</v>
      </c>
      <c r="M37" s="51">
        <f t="shared" si="25"/>
        <v>0.18</v>
      </c>
      <c r="N37" s="33">
        <f t="shared" si="25"/>
        <v>0.18</v>
      </c>
      <c r="O37" s="33">
        <f t="shared" si="25"/>
        <v>0.18</v>
      </c>
      <c r="P37" s="33">
        <f t="shared" si="25"/>
        <v>0.18</v>
      </c>
      <c r="Q37" s="33">
        <f t="shared" si="25"/>
        <v>0.18</v>
      </c>
      <c r="R37" s="33">
        <f t="shared" si="25"/>
        <v>0.18</v>
      </c>
      <c r="S37" s="33">
        <f t="shared" si="25"/>
        <v>0.18</v>
      </c>
      <c r="T37" s="33">
        <f t="shared" si="25"/>
        <v>0.18</v>
      </c>
      <c r="U37" s="33">
        <f t="shared" si="25"/>
        <v>0.18</v>
      </c>
      <c r="V37" s="33">
        <f t="shared" si="25"/>
        <v>0.18</v>
      </c>
      <c r="W37" s="33">
        <f t="shared" si="25"/>
        <v>0.18</v>
      </c>
      <c r="X37" s="33">
        <f t="shared" si="25"/>
        <v>0.18</v>
      </c>
      <c r="Y37" s="33">
        <f t="shared" si="25"/>
        <v>0.18</v>
      </c>
      <c r="Z37" s="33">
        <f t="shared" si="25"/>
        <v>0.18</v>
      </c>
      <c r="AA37" s="33">
        <f t="shared" si="25"/>
        <v>0.18</v>
      </c>
      <c r="AB37" s="33">
        <f t="shared" si="25"/>
        <v>0.18</v>
      </c>
    </row>
    <row r="38" spans="1:28" ht="9.75" customHeight="1" hidden="1">
      <c r="A38" s="36"/>
      <c r="C38" s="17" t="s">
        <v>32</v>
      </c>
      <c r="D38" s="11">
        <f aca="true" t="shared" si="26" ref="D38:P38">NPV(D37,E29:N29)</f>
        <v>71955.82374451417</v>
      </c>
      <c r="E38" s="11">
        <f t="shared" si="26"/>
        <v>76973.55683793161</v>
      </c>
      <c r="F38" s="11">
        <f t="shared" si="26"/>
        <v>81609.10928094042</v>
      </c>
      <c r="G38" s="11">
        <f t="shared" si="26"/>
        <v>84873.47365217804</v>
      </c>
      <c r="H38" s="11">
        <f t="shared" si="26"/>
        <v>88268.41259826517</v>
      </c>
      <c r="I38" s="11">
        <f t="shared" si="26"/>
        <v>91799.14910219578</v>
      </c>
      <c r="J38" s="11">
        <f t="shared" si="26"/>
        <v>95471.11506628363</v>
      </c>
      <c r="K38" s="11">
        <f t="shared" si="26"/>
        <v>99289.95966893499</v>
      </c>
      <c r="L38" s="11">
        <f t="shared" si="26"/>
        <v>103261.55805569241</v>
      </c>
      <c r="M38" s="11">
        <f t="shared" si="26"/>
        <v>107392.0203779201</v>
      </c>
      <c r="N38" s="11">
        <f t="shared" si="26"/>
        <v>111687.7011930369</v>
      </c>
      <c r="O38" s="11">
        <f t="shared" si="26"/>
        <v>116155.2092407584</v>
      </c>
      <c r="P38" s="11">
        <f t="shared" si="26"/>
        <v>120801.41761038873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9.75" customHeight="1" hidden="1">
      <c r="A39" s="36"/>
      <c r="C39" s="17" t="s">
        <v>33</v>
      </c>
      <c r="D39" s="11">
        <f aca="true" t="shared" si="27" ref="D39:P39">O29/(D37-$O$3)/(1+D37)^10</f>
        <v>29754.891567177932</v>
      </c>
      <c r="E39" s="11">
        <f t="shared" si="27"/>
        <v>30945.087229865076</v>
      </c>
      <c r="F39" s="11">
        <f t="shared" si="27"/>
        <v>32182.890719059687</v>
      </c>
      <c r="G39" s="11">
        <f t="shared" si="27"/>
        <v>33470.206347822066</v>
      </c>
      <c r="H39" s="11">
        <f t="shared" si="27"/>
        <v>34809.01460173494</v>
      </c>
      <c r="I39" s="11">
        <f t="shared" si="27"/>
        <v>36201.37518580435</v>
      </c>
      <c r="J39" s="11">
        <f t="shared" si="27"/>
        <v>37649.43019323652</v>
      </c>
      <c r="K39" s="11">
        <f t="shared" si="27"/>
        <v>39155.40740096597</v>
      </c>
      <c r="L39" s="11">
        <f t="shared" si="27"/>
        <v>40721.62369700459</v>
      </c>
      <c r="M39" s="11">
        <f t="shared" si="27"/>
        <v>42350.48864488478</v>
      </c>
      <c r="N39" s="11">
        <f t="shared" si="27"/>
        <v>44044.508190680164</v>
      </c>
      <c r="O39" s="11">
        <f t="shared" si="27"/>
        <v>45806.288518307374</v>
      </c>
      <c r="P39" s="11">
        <f t="shared" si="27"/>
        <v>47638.540059039675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s="30" customFormat="1" ht="9.75" customHeight="1">
      <c r="A40" s="36">
        <v>41</v>
      </c>
      <c r="C40" s="39" t="s">
        <v>34</v>
      </c>
      <c r="D40" s="32">
        <f aca="true" t="shared" si="28" ref="D40:P40">D38+D39</f>
        <v>101710.7153116921</v>
      </c>
      <c r="E40" s="32">
        <f t="shared" si="28"/>
        <v>107918.64406779669</v>
      </c>
      <c r="F40" s="32">
        <f t="shared" si="28"/>
        <v>113792.00000000012</v>
      </c>
      <c r="G40" s="32">
        <f t="shared" si="28"/>
        <v>118343.68000000011</v>
      </c>
      <c r="H40" s="32">
        <f t="shared" si="28"/>
        <v>123077.42720000012</v>
      </c>
      <c r="I40" s="32">
        <f t="shared" si="28"/>
        <v>128000.52428800013</v>
      </c>
      <c r="J40" s="32">
        <f t="shared" si="28"/>
        <v>133120.54525952015</v>
      </c>
      <c r="K40" s="32">
        <f t="shared" si="28"/>
        <v>138445.36706990097</v>
      </c>
      <c r="L40" s="32">
        <f t="shared" si="28"/>
        <v>143983.18175269698</v>
      </c>
      <c r="M40" s="32">
        <f t="shared" si="28"/>
        <v>149742.50902280488</v>
      </c>
      <c r="N40" s="32">
        <f t="shared" si="28"/>
        <v>155732.20938371707</v>
      </c>
      <c r="O40" s="32">
        <f t="shared" si="28"/>
        <v>161961.49775906577</v>
      </c>
      <c r="P40" s="31">
        <f t="shared" si="28"/>
        <v>168439.9576694284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9.75" customHeight="1">
      <c r="A41" s="36">
        <v>48</v>
      </c>
      <c r="C41" s="7" t="s">
        <v>36</v>
      </c>
      <c r="D41" s="11">
        <f aca="true" t="shared" si="29" ref="D41:AB41">D10</f>
        <v>49880.15015975151</v>
      </c>
      <c r="E41" s="11">
        <f t="shared" si="29"/>
        <v>52761.59740466733</v>
      </c>
      <c r="F41" s="11">
        <f t="shared" si="29"/>
        <v>55508.2926829269</v>
      </c>
      <c r="G41" s="11">
        <f t="shared" si="29"/>
        <v>57728.62439024396</v>
      </c>
      <c r="H41" s="11">
        <f t="shared" si="29"/>
        <v>60037.76936585372</v>
      </c>
      <c r="I41" s="11">
        <f t="shared" si="29"/>
        <v>62439.28014048787</v>
      </c>
      <c r="J41" s="11">
        <f t="shared" si="29"/>
        <v>64936.85134610739</v>
      </c>
      <c r="K41" s="11">
        <f t="shared" si="29"/>
        <v>67534.32539995169</v>
      </c>
      <c r="L41" s="11">
        <f t="shared" si="29"/>
        <v>70235.69841594977</v>
      </c>
      <c r="M41" s="46">
        <f t="shared" si="29"/>
        <v>73045.12635258776</v>
      </c>
      <c r="N41" s="11">
        <f t="shared" si="29"/>
        <v>75966.93140669128</v>
      </c>
      <c r="O41" s="11">
        <f t="shared" si="29"/>
        <v>79005.60866295893</v>
      </c>
      <c r="P41" s="11">
        <f t="shared" si="29"/>
        <v>82165.83300947728</v>
      </c>
      <c r="Q41" s="11">
        <f t="shared" si="29"/>
        <v>85452.46632985638</v>
      </c>
      <c r="R41" s="11">
        <f t="shared" si="29"/>
        <v>88870.56498305064</v>
      </c>
      <c r="S41" s="11">
        <f t="shared" si="29"/>
        <v>92425.38758237267</v>
      </c>
      <c r="T41" s="11">
        <f t="shared" si="29"/>
        <v>96122.40308566758</v>
      </c>
      <c r="U41" s="11">
        <f t="shared" si="29"/>
        <v>99967.29920909429</v>
      </c>
      <c r="V41" s="11">
        <f t="shared" si="29"/>
        <v>103965.99117745805</v>
      </c>
      <c r="W41" s="11">
        <f t="shared" si="29"/>
        <v>108124.63082455639</v>
      </c>
      <c r="X41" s="11">
        <f t="shared" si="29"/>
        <v>112449.61605753865</v>
      </c>
      <c r="Y41" s="11">
        <f t="shared" si="29"/>
        <v>116947.6006998402</v>
      </c>
      <c r="Z41" s="11">
        <f t="shared" si="29"/>
        <v>121625.50472783382</v>
      </c>
      <c r="AA41" s="11">
        <f t="shared" si="29"/>
        <v>126490.52491694718</v>
      </c>
      <c r="AB41" s="11">
        <f t="shared" si="29"/>
        <v>131550.14591362508</v>
      </c>
    </row>
    <row r="42" spans="1:28" ht="12.75" customHeight="1">
      <c r="A42" s="36">
        <v>49</v>
      </c>
      <c r="C42" s="7" t="s">
        <v>37</v>
      </c>
      <c r="D42" s="20">
        <v>0.09</v>
      </c>
      <c r="E42" s="20">
        <v>0.09</v>
      </c>
      <c r="F42" s="20">
        <v>0.09</v>
      </c>
      <c r="G42" s="20">
        <v>0.09</v>
      </c>
      <c r="H42" s="20">
        <v>0.09</v>
      </c>
      <c r="I42" s="20">
        <v>0.09</v>
      </c>
      <c r="J42" s="20">
        <v>0.09</v>
      </c>
      <c r="K42" s="20">
        <v>0.09</v>
      </c>
      <c r="L42" s="20">
        <v>0.09</v>
      </c>
      <c r="M42" s="20">
        <v>0.09</v>
      </c>
      <c r="N42" s="20">
        <v>0.09</v>
      </c>
      <c r="O42" s="20">
        <v>0.09</v>
      </c>
      <c r="P42" s="20">
        <v>0.09</v>
      </c>
      <c r="Q42" s="20">
        <v>0.09</v>
      </c>
      <c r="R42" s="20">
        <v>0.09</v>
      </c>
      <c r="S42" s="20">
        <v>0.09</v>
      </c>
      <c r="T42" s="20">
        <v>0.09</v>
      </c>
      <c r="U42" s="20">
        <v>0.09</v>
      </c>
      <c r="V42" s="20">
        <v>0.09</v>
      </c>
      <c r="W42" s="20">
        <v>0.09</v>
      </c>
      <c r="X42" s="20">
        <v>0.09</v>
      </c>
      <c r="Y42" s="20">
        <v>0.09</v>
      </c>
      <c r="Z42" s="20">
        <v>0.09</v>
      </c>
      <c r="AA42" s="20">
        <v>0.09</v>
      </c>
      <c r="AB42" s="20">
        <v>0.09</v>
      </c>
    </row>
    <row r="43" spans="1:28" ht="12" customHeight="1">
      <c r="A43" s="36">
        <v>50</v>
      </c>
      <c r="C43" s="7" t="s">
        <v>38</v>
      </c>
      <c r="D43" s="13">
        <f aca="true" t="shared" si="30" ref="D43:AB43">(D42-D35)/D36</f>
        <v>0.375</v>
      </c>
      <c r="E43" s="13">
        <f t="shared" si="30"/>
        <v>0.375</v>
      </c>
      <c r="F43" s="13">
        <f t="shared" si="30"/>
        <v>0.375</v>
      </c>
      <c r="G43" s="13">
        <f t="shared" si="30"/>
        <v>0.375</v>
      </c>
      <c r="H43" s="13">
        <f t="shared" si="30"/>
        <v>0.375</v>
      </c>
      <c r="I43" s="13">
        <f t="shared" si="30"/>
        <v>0.375</v>
      </c>
      <c r="J43" s="4">
        <f t="shared" si="30"/>
        <v>0.375</v>
      </c>
      <c r="K43" s="4">
        <f t="shared" si="30"/>
        <v>0.375</v>
      </c>
      <c r="L43" s="4">
        <f t="shared" si="30"/>
        <v>0.375</v>
      </c>
      <c r="M43" s="44">
        <f t="shared" si="30"/>
        <v>0.375</v>
      </c>
      <c r="N43" s="4">
        <f t="shared" si="30"/>
        <v>0.375</v>
      </c>
      <c r="O43" s="4">
        <f t="shared" si="30"/>
        <v>0.375</v>
      </c>
      <c r="P43" s="4">
        <f t="shared" si="30"/>
        <v>0.375</v>
      </c>
      <c r="Q43" s="4">
        <f t="shared" si="30"/>
        <v>0.375</v>
      </c>
      <c r="R43" s="4">
        <f t="shared" si="30"/>
        <v>0.375</v>
      </c>
      <c r="S43" s="4">
        <f t="shared" si="30"/>
        <v>0.375</v>
      </c>
      <c r="T43" s="4">
        <f t="shared" si="30"/>
        <v>0.375</v>
      </c>
      <c r="U43" s="4">
        <f t="shared" si="30"/>
        <v>0.375</v>
      </c>
      <c r="V43" s="4">
        <f t="shared" si="30"/>
        <v>0.375</v>
      </c>
      <c r="W43" s="4">
        <f t="shared" si="30"/>
        <v>0.375</v>
      </c>
      <c r="X43" s="4">
        <f t="shared" si="30"/>
        <v>0.375</v>
      </c>
      <c r="Y43" s="4">
        <f t="shared" si="30"/>
        <v>0.375</v>
      </c>
      <c r="Z43" s="4">
        <f t="shared" si="30"/>
        <v>0.375</v>
      </c>
      <c r="AA43" s="4">
        <f t="shared" si="30"/>
        <v>0.375</v>
      </c>
      <c r="AB43" s="4">
        <f t="shared" si="30"/>
        <v>0.375</v>
      </c>
    </row>
    <row r="44" spans="1:28" ht="12.75" customHeight="1" hidden="1">
      <c r="A44" s="36"/>
      <c r="C44" s="17" t="s">
        <v>39</v>
      </c>
      <c r="D44" s="9"/>
      <c r="E44" s="9">
        <f aca="true" t="shared" si="31" ref="E44:AB44">D41*D37*$H$2</f>
        <v>3142.4494600643447</v>
      </c>
      <c r="F44" s="9">
        <f t="shared" si="31"/>
        <v>3323.980636494041</v>
      </c>
      <c r="G44" s="9">
        <f t="shared" si="31"/>
        <v>3497.022439024394</v>
      </c>
      <c r="H44" s="9">
        <f t="shared" si="31"/>
        <v>3636.9033365853693</v>
      </c>
      <c r="I44" s="9">
        <f t="shared" si="31"/>
        <v>3782.379470048784</v>
      </c>
      <c r="J44" s="9">
        <f t="shared" si="31"/>
        <v>3933.6746488507356</v>
      </c>
      <c r="K44" s="9">
        <f t="shared" si="31"/>
        <v>4091.0216348047647</v>
      </c>
      <c r="L44" s="9">
        <f t="shared" si="31"/>
        <v>4254.662500196956</v>
      </c>
      <c r="M44" s="9">
        <f t="shared" si="31"/>
        <v>4424.849000204835</v>
      </c>
      <c r="N44" s="9">
        <f t="shared" si="31"/>
        <v>4601.842960213028</v>
      </c>
      <c r="O44" s="9">
        <f t="shared" si="31"/>
        <v>4785.91667862155</v>
      </c>
      <c r="P44" s="9">
        <f t="shared" si="31"/>
        <v>4977.353345766412</v>
      </c>
      <c r="Q44" s="9">
        <f t="shared" si="31"/>
        <v>5176.447479597068</v>
      </c>
      <c r="R44" s="9">
        <f t="shared" si="31"/>
        <v>5383.505378780952</v>
      </c>
      <c r="S44" s="9">
        <f t="shared" si="31"/>
        <v>5598.84559393219</v>
      </c>
      <c r="T44" s="9">
        <f t="shared" si="31"/>
        <v>5822.799417689477</v>
      </c>
      <c r="U44" s="9">
        <f t="shared" si="31"/>
        <v>6055.711394397056</v>
      </c>
      <c r="V44" s="9">
        <f t="shared" si="31"/>
        <v>6297.939850172939</v>
      </c>
      <c r="W44" s="9">
        <f t="shared" si="31"/>
        <v>6549.857444179856</v>
      </c>
      <c r="X44" s="9">
        <f t="shared" si="31"/>
        <v>6811.851741947051</v>
      </c>
      <c r="Y44" s="9">
        <f t="shared" si="31"/>
        <v>7084.3258116249335</v>
      </c>
      <c r="Z44" s="9">
        <f t="shared" si="31"/>
        <v>7367.698844089932</v>
      </c>
      <c r="AA44" s="9">
        <f t="shared" si="31"/>
        <v>7662.4067978535295</v>
      </c>
      <c r="AB44" s="9">
        <f t="shared" si="31"/>
        <v>7968.903069767671</v>
      </c>
    </row>
    <row r="45" spans="1:28" ht="12.75" customHeight="1" hidden="1">
      <c r="A45" s="36"/>
      <c r="C45" s="17" t="s">
        <v>35</v>
      </c>
      <c r="D45" s="11">
        <f aca="true" t="shared" si="32" ref="D45:AB45">NPV(D37,E44:N44)</f>
        <v>16458.098524585082</v>
      </c>
      <c r="E45" s="11">
        <f t="shared" si="32"/>
        <v>17192.52541783981</v>
      </c>
      <c r="F45" s="11">
        <f t="shared" si="32"/>
        <v>17914.194720206448</v>
      </c>
      <c r="G45" s="11">
        <f t="shared" si="32"/>
        <v>18630.762509014705</v>
      </c>
      <c r="H45" s="11">
        <f t="shared" si="32"/>
        <v>19375.993009375296</v>
      </c>
      <c r="I45" s="11">
        <f t="shared" si="32"/>
        <v>20151.03272975031</v>
      </c>
      <c r="J45" s="11">
        <f t="shared" si="32"/>
        <v>20957.074038940318</v>
      </c>
      <c r="K45" s="11">
        <f t="shared" si="32"/>
        <v>21795.357000497934</v>
      </c>
      <c r="L45" s="11">
        <f t="shared" si="32"/>
        <v>22667.171280517854</v>
      </c>
      <c r="M45" s="11">
        <f t="shared" si="32"/>
        <v>23573.858131738572</v>
      </c>
      <c r="N45" s="11">
        <f t="shared" si="32"/>
        <v>24516.812457008113</v>
      </c>
      <c r="O45" s="11">
        <f t="shared" si="32"/>
        <v>25497.48495528843</v>
      </c>
      <c r="P45" s="11">
        <f t="shared" si="32"/>
        <v>26517.384353499976</v>
      </c>
      <c r="Q45" s="11">
        <f t="shared" si="32"/>
        <v>27578.079727639975</v>
      </c>
      <c r="R45" s="11">
        <f t="shared" si="32"/>
        <v>28681.202916745577</v>
      </c>
      <c r="S45" s="11">
        <f t="shared" si="32"/>
        <v>28244.973847827594</v>
      </c>
      <c r="T45" s="11">
        <f t="shared" si="32"/>
        <v>27506.269722747074</v>
      </c>
      <c r="U45" s="11">
        <f t="shared" si="32"/>
        <v>26401.686878444496</v>
      </c>
      <c r="V45" s="11">
        <f t="shared" si="32"/>
        <v>24856.050666391555</v>
      </c>
      <c r="W45" s="11">
        <f t="shared" si="32"/>
        <v>22780.28234216218</v>
      </c>
      <c r="X45" s="11">
        <f t="shared" si="32"/>
        <v>20068.881421804323</v>
      </c>
      <c r="Y45" s="11">
        <f t="shared" si="32"/>
        <v>16596.954266104167</v>
      </c>
      <c r="Z45" s="11">
        <f t="shared" si="32"/>
        <v>12216.707189912984</v>
      </c>
      <c r="AA45" s="11">
        <f t="shared" si="32"/>
        <v>6753.307686243789</v>
      </c>
      <c r="AB45" s="11">
        <f t="shared" si="32"/>
        <v>0</v>
      </c>
    </row>
    <row r="46" spans="1:28" ht="12.75" customHeight="1" hidden="1">
      <c r="A46" s="36"/>
      <c r="C46" s="17" t="s">
        <v>33</v>
      </c>
      <c r="D46" s="11">
        <f aca="true" t="shared" si="33" ref="D46:AB46">O44/(D37-$O$3)/(1+D37)^10</f>
        <v>6531.56156352687</v>
      </c>
      <c r="E46" s="11">
        <f t="shared" si="33"/>
        <v>6792.824026067943</v>
      </c>
      <c r="F46" s="11">
        <f t="shared" si="33"/>
        <v>7064.536987110661</v>
      </c>
      <c r="G46" s="11">
        <f t="shared" si="33"/>
        <v>7347.1184665950905</v>
      </c>
      <c r="H46" s="11">
        <f t="shared" si="33"/>
        <v>7641.003205258894</v>
      </c>
      <c r="I46" s="11">
        <f t="shared" si="33"/>
        <v>7946.643333469247</v>
      </c>
      <c r="J46" s="11">
        <f t="shared" si="33"/>
        <v>8264.509066808017</v>
      </c>
      <c r="K46" s="11">
        <f t="shared" si="33"/>
        <v>8595.08942948034</v>
      </c>
      <c r="L46" s="11">
        <f t="shared" si="33"/>
        <v>8938.893006659553</v>
      </c>
      <c r="M46" s="11">
        <f t="shared" si="33"/>
        <v>9296.448726925935</v>
      </c>
      <c r="N46" s="11">
        <f t="shared" si="33"/>
        <v>9668.306676002974</v>
      </c>
      <c r="O46" s="11">
        <f t="shared" si="33"/>
        <v>10055.038943043095</v>
      </c>
      <c r="P46" s="11">
        <f t="shared" si="33"/>
        <v>10457.240500764818</v>
      </c>
      <c r="Q46" s="11">
        <f t="shared" si="33"/>
        <v>10875.53012079541</v>
      </c>
      <c r="R46" s="11">
        <f t="shared" si="33"/>
        <v>0</v>
      </c>
      <c r="S46" s="11">
        <f t="shared" si="33"/>
        <v>0</v>
      </c>
      <c r="T46" s="11">
        <f t="shared" si="33"/>
        <v>0</v>
      </c>
      <c r="U46" s="11">
        <f t="shared" si="33"/>
        <v>0</v>
      </c>
      <c r="V46" s="11">
        <f t="shared" si="33"/>
        <v>0</v>
      </c>
      <c r="W46" s="11">
        <f t="shared" si="33"/>
        <v>0</v>
      </c>
      <c r="X46" s="11">
        <f t="shared" si="33"/>
        <v>0</v>
      </c>
      <c r="Y46" s="11">
        <f t="shared" si="33"/>
        <v>0</v>
      </c>
      <c r="Z46" s="11">
        <f t="shared" si="33"/>
        <v>0</v>
      </c>
      <c r="AA46" s="11">
        <f t="shared" si="33"/>
        <v>0</v>
      </c>
      <c r="AB46" s="11">
        <f t="shared" si="33"/>
        <v>0</v>
      </c>
    </row>
    <row r="47" spans="1:28" s="71" customFormat="1" ht="16.5" customHeight="1">
      <c r="A47" s="40">
        <v>51</v>
      </c>
      <c r="C47" s="81" t="s">
        <v>55</v>
      </c>
      <c r="D47" s="82">
        <f aca="true" t="shared" si="34" ref="D47:AB47">D45+D46</f>
        <v>22989.660088111952</v>
      </c>
      <c r="E47" s="82">
        <f t="shared" si="34"/>
        <v>23985.349443907755</v>
      </c>
      <c r="F47" s="82">
        <f t="shared" si="34"/>
        <v>24978.731707317107</v>
      </c>
      <c r="G47" s="82">
        <f t="shared" si="34"/>
        <v>25977.880975609794</v>
      </c>
      <c r="H47" s="82">
        <f t="shared" si="34"/>
        <v>27016.99621463419</v>
      </c>
      <c r="I47" s="83">
        <f t="shared" si="34"/>
        <v>28097.67606321956</v>
      </c>
      <c r="J47" s="83">
        <f t="shared" si="34"/>
        <v>29221.583105748337</v>
      </c>
      <c r="K47" s="83">
        <f t="shared" si="34"/>
        <v>30390.446429978274</v>
      </c>
      <c r="L47" s="83">
        <f t="shared" si="34"/>
        <v>31606.064287177407</v>
      </c>
      <c r="M47" s="83">
        <f t="shared" si="34"/>
        <v>32870.30685866451</v>
      </c>
      <c r="N47" s="83">
        <f t="shared" si="34"/>
        <v>34185.11913301109</v>
      </c>
      <c r="O47" s="83">
        <f t="shared" si="34"/>
        <v>35552.52389833152</v>
      </c>
      <c r="P47" s="83">
        <f t="shared" si="34"/>
        <v>36974.624854264795</v>
      </c>
      <c r="Q47" s="83">
        <f t="shared" si="34"/>
        <v>38453.609848435386</v>
      </c>
      <c r="R47" s="83">
        <f t="shared" si="34"/>
        <v>28681.202916745577</v>
      </c>
      <c r="S47" s="83">
        <f t="shared" si="34"/>
        <v>28244.973847827594</v>
      </c>
      <c r="T47" s="83">
        <f t="shared" si="34"/>
        <v>27506.269722747074</v>
      </c>
      <c r="U47" s="83">
        <f t="shared" si="34"/>
        <v>26401.686878444496</v>
      </c>
      <c r="V47" s="83">
        <f t="shared" si="34"/>
        <v>24856.050666391555</v>
      </c>
      <c r="W47" s="83">
        <f t="shared" si="34"/>
        <v>22780.28234216218</v>
      </c>
      <c r="X47" s="83">
        <f t="shared" si="34"/>
        <v>20068.881421804323</v>
      </c>
      <c r="Y47" s="83">
        <f t="shared" si="34"/>
        <v>16596.954266104167</v>
      </c>
      <c r="Z47" s="83">
        <f t="shared" si="34"/>
        <v>12216.707189912984</v>
      </c>
      <c r="AA47" s="83">
        <f t="shared" si="34"/>
        <v>6753.307686243789</v>
      </c>
      <c r="AB47" s="83">
        <f t="shared" si="34"/>
        <v>0</v>
      </c>
    </row>
    <row r="48" spans="1:28" s="71" customFormat="1" ht="16.5" customHeight="1" thickBot="1">
      <c r="A48" s="40">
        <v>52</v>
      </c>
      <c r="C48" s="84" t="s">
        <v>54</v>
      </c>
      <c r="D48" s="85">
        <f aca="true" t="shared" si="35" ref="D48:AB48">D47+D40</f>
        <v>124700.37539980405</v>
      </c>
      <c r="E48" s="85">
        <f t="shared" si="35"/>
        <v>131903.99351170444</v>
      </c>
      <c r="F48" s="85">
        <f t="shared" si="35"/>
        <v>138770.73170731723</v>
      </c>
      <c r="G48" s="85">
        <f t="shared" si="35"/>
        <v>144321.5609756099</v>
      </c>
      <c r="H48" s="85">
        <f t="shared" si="35"/>
        <v>150094.4234146343</v>
      </c>
      <c r="I48" s="86">
        <f t="shared" si="35"/>
        <v>156098.20035121968</v>
      </c>
      <c r="J48" s="86">
        <f t="shared" si="35"/>
        <v>162342.1283652685</v>
      </c>
      <c r="K48" s="89">
        <f t="shared" si="35"/>
        <v>168835.81349987924</v>
      </c>
      <c r="L48" s="89">
        <f t="shared" si="35"/>
        <v>175589.2460398744</v>
      </c>
      <c r="M48" s="89">
        <f t="shared" si="35"/>
        <v>182612.8158814694</v>
      </c>
      <c r="N48" s="89">
        <f t="shared" si="35"/>
        <v>189917.32851672816</v>
      </c>
      <c r="O48" s="89">
        <f t="shared" si="35"/>
        <v>197514.02165739727</v>
      </c>
      <c r="P48" s="89">
        <f t="shared" si="35"/>
        <v>205414.5825236932</v>
      </c>
      <c r="Q48" s="89">
        <f t="shared" si="35"/>
        <v>38453.609848435386</v>
      </c>
      <c r="R48" s="89">
        <f t="shared" si="35"/>
        <v>28681.202916745577</v>
      </c>
      <c r="S48" s="89">
        <f t="shared" si="35"/>
        <v>28244.973847827594</v>
      </c>
      <c r="T48" s="89">
        <f t="shared" si="35"/>
        <v>27506.269722747074</v>
      </c>
      <c r="U48" s="89">
        <f t="shared" si="35"/>
        <v>26401.686878444496</v>
      </c>
      <c r="V48" s="89">
        <f t="shared" si="35"/>
        <v>24856.050666391555</v>
      </c>
      <c r="W48" s="89">
        <f t="shared" si="35"/>
        <v>22780.28234216218</v>
      </c>
      <c r="X48" s="89">
        <f t="shared" si="35"/>
        <v>20068.881421804323</v>
      </c>
      <c r="Y48" s="89">
        <f t="shared" si="35"/>
        <v>16596.954266104167</v>
      </c>
      <c r="Z48" s="89">
        <f t="shared" si="35"/>
        <v>12216.707189912984</v>
      </c>
      <c r="AA48" s="89">
        <f t="shared" si="35"/>
        <v>6753.307686243789</v>
      </c>
      <c r="AB48" s="89">
        <f t="shared" si="35"/>
        <v>0</v>
      </c>
    </row>
    <row r="49" spans="1:28" s="71" customFormat="1" ht="16.5" customHeight="1" thickBot="1">
      <c r="A49" s="40">
        <v>53</v>
      </c>
      <c r="C49" s="87" t="s">
        <v>57</v>
      </c>
      <c r="D49" s="80">
        <f aca="true" t="shared" si="36" ref="D49:AB49">D48-D41</f>
        <v>74820.22524005253</v>
      </c>
      <c r="E49" s="88">
        <f t="shared" si="36"/>
        <v>79142.39610703712</v>
      </c>
      <c r="F49" s="88">
        <f t="shared" si="36"/>
        <v>83262.43902439033</v>
      </c>
      <c r="G49" s="88">
        <f t="shared" si="36"/>
        <v>86592.93658536594</v>
      </c>
      <c r="H49" s="88">
        <f t="shared" si="36"/>
        <v>90056.65404878059</v>
      </c>
      <c r="I49" s="88">
        <f t="shared" si="36"/>
        <v>93658.92021073181</v>
      </c>
      <c r="J49" s="88">
        <f t="shared" si="36"/>
        <v>97405.2770191611</v>
      </c>
      <c r="K49" s="90">
        <f t="shared" si="36"/>
        <v>101301.48809992755</v>
      </c>
      <c r="L49" s="90">
        <f t="shared" si="36"/>
        <v>105353.54762392462</v>
      </c>
      <c r="M49" s="90">
        <f t="shared" si="36"/>
        <v>109567.68952888164</v>
      </c>
      <c r="N49" s="90">
        <f t="shared" si="36"/>
        <v>113950.39711003688</v>
      </c>
      <c r="O49" s="90">
        <f t="shared" si="36"/>
        <v>118508.41299443835</v>
      </c>
      <c r="P49" s="90">
        <f t="shared" si="36"/>
        <v>123248.74951421593</v>
      </c>
      <c r="Q49" s="90">
        <f t="shared" si="36"/>
        <v>-46998.856481421</v>
      </c>
      <c r="R49" s="90">
        <f t="shared" si="36"/>
        <v>-60189.36206630507</v>
      </c>
      <c r="S49" s="90">
        <f t="shared" si="36"/>
        <v>-64180.41373454507</v>
      </c>
      <c r="T49" s="90">
        <f t="shared" si="36"/>
        <v>-68616.1333629205</v>
      </c>
      <c r="U49" s="90">
        <f t="shared" si="36"/>
        <v>-73565.61233064979</v>
      </c>
      <c r="V49" s="90">
        <f t="shared" si="36"/>
        <v>-79109.9405110665</v>
      </c>
      <c r="W49" s="90">
        <f t="shared" si="36"/>
        <v>-85344.34848239421</v>
      </c>
      <c r="X49" s="90">
        <f t="shared" si="36"/>
        <v>-92380.73463573432</v>
      </c>
      <c r="Y49" s="90">
        <f t="shared" si="36"/>
        <v>-100350.64643373604</v>
      </c>
      <c r="Z49" s="90">
        <f t="shared" si="36"/>
        <v>-109408.79753792084</v>
      </c>
      <c r="AA49" s="90">
        <f t="shared" si="36"/>
        <v>-119737.21723070339</v>
      </c>
      <c r="AB49" s="90">
        <f t="shared" si="36"/>
        <v>-131550.14591362508</v>
      </c>
    </row>
    <row r="50" spans="1:28" ht="12.75" customHeight="1">
      <c r="A50" s="36">
        <v>54</v>
      </c>
      <c r="C50" s="7" t="s">
        <v>41</v>
      </c>
      <c r="D50" s="13">
        <f aca="true" t="shared" si="37" ref="D50:AB50">D34*(D41*(1-$B68)+D58)/D58-D43*D41*(1-$B68)/D58</f>
        <v>1.9874999999960468</v>
      </c>
      <c r="E50" s="13">
        <f t="shared" si="37"/>
        <v>1.9874999999996823</v>
      </c>
      <c r="F50" s="13">
        <f t="shared" si="37"/>
        <v>1.9875000000000005</v>
      </c>
      <c r="G50" s="13">
        <f t="shared" si="37"/>
        <v>1.9875000000000007</v>
      </c>
      <c r="H50" s="13">
        <f t="shared" si="37"/>
        <v>1.9875000000000007</v>
      </c>
      <c r="I50" s="13">
        <f t="shared" si="37"/>
        <v>1.9875000000000007</v>
      </c>
      <c r="J50" s="13">
        <f t="shared" si="37"/>
        <v>1.9875000000000003</v>
      </c>
      <c r="K50" s="13">
        <f t="shared" si="37"/>
        <v>1.9875000000000007</v>
      </c>
      <c r="L50" s="13">
        <f t="shared" si="37"/>
        <v>1.9875000000000005</v>
      </c>
      <c r="M50" s="13">
        <f t="shared" si="37"/>
        <v>1.9875000000000005</v>
      </c>
      <c r="N50" s="13">
        <f t="shared" si="37"/>
        <v>1.987500000000001</v>
      </c>
      <c r="O50" s="13">
        <f t="shared" si="37"/>
        <v>1.9875000000000005</v>
      </c>
      <c r="P50" s="13">
        <f t="shared" si="37"/>
        <v>1.987500000000001</v>
      </c>
      <c r="Q50" s="13">
        <f t="shared" si="37"/>
        <v>1.9875000000000012</v>
      </c>
      <c r="R50" s="13">
        <f t="shared" si="37"/>
        <v>1.9875000000000012</v>
      </c>
      <c r="S50" s="13">
        <f t="shared" si="37"/>
        <v>1.9875000000000016</v>
      </c>
      <c r="T50" s="13">
        <f t="shared" si="37"/>
        <v>1.987500000000002</v>
      </c>
      <c r="U50" s="13">
        <f t="shared" si="37"/>
        <v>1.9875000000000023</v>
      </c>
      <c r="V50" s="13">
        <f t="shared" si="37"/>
        <v>1.9875000000000027</v>
      </c>
      <c r="W50" s="13">
        <f t="shared" si="37"/>
        <v>1.9875000000000025</v>
      </c>
      <c r="X50" s="13">
        <f t="shared" si="37"/>
        <v>1.9875000000000034</v>
      </c>
      <c r="Y50" s="13">
        <f t="shared" si="37"/>
        <v>1.9875000000000036</v>
      </c>
      <c r="Z50" s="13">
        <f t="shared" si="37"/>
        <v>1.9875000000000043</v>
      </c>
      <c r="AA50" s="13">
        <f t="shared" si="37"/>
        <v>1.9875000000000045</v>
      </c>
      <c r="AB50" s="13">
        <f t="shared" si="37"/>
        <v>1.9875000000000056</v>
      </c>
    </row>
    <row r="51" spans="1:28" s="30" customFormat="1" ht="13.5" customHeight="1" thickBot="1">
      <c r="A51" s="36">
        <v>55</v>
      </c>
      <c r="C51" s="30" t="s">
        <v>42</v>
      </c>
      <c r="D51" s="33">
        <f aca="true" t="shared" si="38" ref="D51:AB51">D35+D36*D50</f>
        <v>0.21899999999968375</v>
      </c>
      <c r="E51" s="33">
        <f t="shared" si="38"/>
        <v>0.21899999999997458</v>
      </c>
      <c r="F51" s="33">
        <f t="shared" si="38"/>
        <v>0.21900000000000003</v>
      </c>
      <c r="G51" s="33">
        <f t="shared" si="38"/>
        <v>0.21900000000000006</v>
      </c>
      <c r="H51" s="33">
        <f t="shared" si="38"/>
        <v>0.21900000000000006</v>
      </c>
      <c r="I51" s="33">
        <f t="shared" si="38"/>
        <v>0.21900000000000006</v>
      </c>
      <c r="J51" s="33">
        <f t="shared" si="38"/>
        <v>0.21900000000000003</v>
      </c>
      <c r="K51" s="33">
        <f t="shared" si="38"/>
        <v>0.21900000000000006</v>
      </c>
      <c r="L51" s="33">
        <f t="shared" si="38"/>
        <v>0.21900000000000003</v>
      </c>
      <c r="M51" s="51">
        <f t="shared" si="38"/>
        <v>0.21900000000000003</v>
      </c>
      <c r="N51" s="33">
        <f t="shared" si="38"/>
        <v>0.21900000000000008</v>
      </c>
      <c r="O51" s="33">
        <f t="shared" si="38"/>
        <v>0.21900000000000003</v>
      </c>
      <c r="P51" s="33">
        <f t="shared" si="38"/>
        <v>0.21900000000000008</v>
      </c>
      <c r="Q51" s="33">
        <f t="shared" si="38"/>
        <v>0.21900000000000008</v>
      </c>
      <c r="R51" s="33">
        <f t="shared" si="38"/>
        <v>0.21900000000000008</v>
      </c>
      <c r="S51" s="33">
        <f t="shared" si="38"/>
        <v>0.21900000000000014</v>
      </c>
      <c r="T51" s="33">
        <f t="shared" si="38"/>
        <v>0.21900000000000017</v>
      </c>
      <c r="U51" s="33">
        <f t="shared" si="38"/>
        <v>0.2190000000000002</v>
      </c>
      <c r="V51" s="33">
        <f t="shared" si="38"/>
        <v>0.21900000000000022</v>
      </c>
      <c r="W51" s="33">
        <f t="shared" si="38"/>
        <v>0.2190000000000002</v>
      </c>
      <c r="X51" s="33">
        <f t="shared" si="38"/>
        <v>0.21900000000000028</v>
      </c>
      <c r="Y51" s="33">
        <f t="shared" si="38"/>
        <v>0.21900000000000028</v>
      </c>
      <c r="Z51" s="33">
        <f t="shared" si="38"/>
        <v>0.21900000000000033</v>
      </c>
      <c r="AA51" s="33">
        <f t="shared" si="38"/>
        <v>0.21900000000000036</v>
      </c>
      <c r="AB51" s="33">
        <f t="shared" si="38"/>
        <v>0.21900000000000044</v>
      </c>
    </row>
    <row r="52" spans="1:28" ht="13.5" customHeight="1" hidden="1">
      <c r="A52" s="36"/>
      <c r="C52" s="17" t="s">
        <v>43</v>
      </c>
      <c r="D52" s="13">
        <v>1</v>
      </c>
      <c r="E52" s="13">
        <f>1/(1+D51)</f>
        <v>0.8203445447089905</v>
      </c>
      <c r="F52" s="14">
        <f aca="true" t="shared" si="39" ref="F52:AB52">E52/(1+E51)</f>
        <v>0.6729651720336404</v>
      </c>
      <c r="G52" s="14">
        <f t="shared" si="39"/>
        <v>0.5520633076568009</v>
      </c>
      <c r="H52" s="14">
        <f t="shared" si="39"/>
        <v>0.45288212277014017</v>
      </c>
      <c r="I52" s="14">
        <f t="shared" si="39"/>
        <v>0.37151937881061536</v>
      </c>
      <c r="J52" s="14">
        <f t="shared" si="39"/>
        <v>0.30477389566088214</v>
      </c>
      <c r="K52" s="14">
        <f t="shared" si="39"/>
        <v>0.25001960267504686</v>
      </c>
      <c r="L52" s="14">
        <f t="shared" si="39"/>
        <v>0.20510221712473078</v>
      </c>
      <c r="M52" s="14">
        <f t="shared" si="39"/>
        <v>0.16825448492594813</v>
      </c>
      <c r="N52" s="14">
        <f t="shared" si="39"/>
        <v>0.1380266488317868</v>
      </c>
      <c r="O52" s="14">
        <f t="shared" si="39"/>
        <v>0.11322940839359048</v>
      </c>
      <c r="P52" s="14">
        <f t="shared" si="39"/>
        <v>0.09288712747628423</v>
      </c>
      <c r="Q52" s="14">
        <f t="shared" si="39"/>
        <v>0.07619944829883858</v>
      </c>
      <c r="R52" s="14">
        <f t="shared" si="39"/>
        <v>0.06250980172177077</v>
      </c>
      <c r="S52" s="14">
        <f t="shared" si="39"/>
        <v>0.05127957483328201</v>
      </c>
      <c r="T52" s="14">
        <f t="shared" si="39"/>
        <v>0.04206691946946842</v>
      </c>
      <c r="U52" s="14">
        <f t="shared" si="39"/>
        <v>0.034509367899481884</v>
      </c>
      <c r="V52" s="14">
        <f t="shared" si="39"/>
        <v>0.028309571697688166</v>
      </c>
      <c r="W52" s="14">
        <f t="shared" si="39"/>
        <v>0.02322360270524049</v>
      </c>
      <c r="X52" s="14">
        <f t="shared" si="39"/>
        <v>0.01905135578772804</v>
      </c>
      <c r="Y52" s="14">
        <f t="shared" si="39"/>
        <v>0.015628675789768693</v>
      </c>
      <c r="Z52" s="14">
        <f t="shared" si="39"/>
        <v>0.012820898925158891</v>
      </c>
      <c r="AA52" s="14">
        <f t="shared" si="39"/>
        <v>0.010517554491516725</v>
      </c>
      <c r="AB52" s="14">
        <f t="shared" si="39"/>
        <v>0.008628018450793045</v>
      </c>
    </row>
    <row r="53" spans="1:28" ht="13.5" customHeight="1" hidden="1">
      <c r="A53" s="60"/>
      <c r="B53" s="53"/>
      <c r="C53" s="53" t="s">
        <v>24</v>
      </c>
      <c r="D53" s="53"/>
      <c r="E53" s="53">
        <f aca="true" t="shared" si="40" ref="E53:AB53">E28</f>
        <v>12063.458460131038</v>
      </c>
      <c r="F53" s="53">
        <f t="shared" si="40"/>
        <v>13212.141830046136</v>
      </c>
      <c r="G53" s="53">
        <f t="shared" si="40"/>
        <v>14903.976585365854</v>
      </c>
      <c r="H53" s="53">
        <f t="shared" si="40"/>
        <v>15500.135648780482</v>
      </c>
      <c r="I53" s="53">
        <f t="shared" si="40"/>
        <v>16120.141074731719</v>
      </c>
      <c r="J53" s="53">
        <f t="shared" si="40"/>
        <v>16764.94671772098</v>
      </c>
      <c r="K53" s="53">
        <f t="shared" si="40"/>
        <v>17435.544586429824</v>
      </c>
      <c r="L53" s="53">
        <f t="shared" si="40"/>
        <v>18132.966369887024</v>
      </c>
      <c r="M53" s="53">
        <f t="shared" si="40"/>
        <v>18858.285024682496</v>
      </c>
      <c r="N53" s="53">
        <f t="shared" si="40"/>
        <v>19612.616425669803</v>
      </c>
      <c r="O53" s="53">
        <f t="shared" si="40"/>
        <v>20397.121082696587</v>
      </c>
      <c r="P53" s="53">
        <f t="shared" si="40"/>
        <v>21213.00592600447</v>
      </c>
      <c r="Q53" s="53">
        <f t="shared" si="40"/>
        <v>22061.526163044662</v>
      </c>
      <c r="R53" s="53">
        <f t="shared" si="40"/>
        <v>22943.98720956644</v>
      </c>
      <c r="S53" s="53">
        <f t="shared" si="40"/>
        <v>23861.746697949086</v>
      </c>
      <c r="T53" s="53">
        <f t="shared" si="40"/>
        <v>24816.216565867056</v>
      </c>
      <c r="U53" s="53">
        <f t="shared" si="40"/>
        <v>25808.865228501738</v>
      </c>
      <c r="V53" s="53">
        <f t="shared" si="40"/>
        <v>26841.21983764179</v>
      </c>
      <c r="W53" s="53">
        <f t="shared" si="40"/>
        <v>27914.868631147463</v>
      </c>
      <c r="X53" s="53">
        <f t="shared" si="40"/>
        <v>29031.46337639336</v>
      </c>
      <c r="Y53" s="53">
        <f t="shared" si="40"/>
        <v>30192.7219114491</v>
      </c>
      <c r="Z53" s="53">
        <f t="shared" si="40"/>
        <v>31400.43078790706</v>
      </c>
      <c r="AA53" s="53">
        <f t="shared" si="40"/>
        <v>32656.448019423344</v>
      </c>
      <c r="AB53" s="53">
        <f t="shared" si="40"/>
        <v>33962.70594020028</v>
      </c>
    </row>
    <row r="54" spans="1:28" ht="13.5" customHeight="1" hidden="1">
      <c r="A54" s="36"/>
      <c r="C54" s="17" t="s">
        <v>44</v>
      </c>
      <c r="D54" s="11"/>
      <c r="E54" s="11">
        <f aca="true" t="shared" si="41" ref="E54:AB54">E53*E52</f>
        <v>9896.192338092016</v>
      </c>
      <c r="F54" s="11">
        <f t="shared" si="41"/>
        <v>8891.311299589854</v>
      </c>
      <c r="G54" s="11">
        <f t="shared" si="41"/>
        <v>8227.938610956586</v>
      </c>
      <c r="H54" s="11">
        <f t="shared" si="41"/>
        <v>7019.734335844829</v>
      </c>
      <c r="I54" s="11">
        <f t="shared" si="41"/>
        <v>5988.944798423814</v>
      </c>
      <c r="J54" s="11">
        <f t="shared" si="41"/>
        <v>5109.518121706943</v>
      </c>
      <c r="K54" s="11">
        <f t="shared" si="41"/>
        <v>4359.227929922249</v>
      </c>
      <c r="L54" s="11">
        <f t="shared" si="41"/>
        <v>3719.11160551201</v>
      </c>
      <c r="M54" s="11">
        <f t="shared" si="41"/>
        <v>3172.9910334146743</v>
      </c>
      <c r="N54" s="11">
        <f t="shared" si="41"/>
        <v>2707.0637200584597</v>
      </c>
      <c r="O54" s="11">
        <f t="shared" si="41"/>
        <v>2309.5539531261666</v>
      </c>
      <c r="P54" s="11">
        <f t="shared" si="41"/>
        <v>1970.41518560395</v>
      </c>
      <c r="Q54" s="11">
        <f t="shared" si="41"/>
        <v>1681.0761222543965</v>
      </c>
      <c r="R54" s="11">
        <f t="shared" si="41"/>
        <v>1434.2240911768429</v>
      </c>
      <c r="S54" s="11">
        <f t="shared" si="41"/>
        <v>1223.6202254503</v>
      </c>
      <c r="T54" s="11">
        <f t="shared" si="41"/>
        <v>1043.9417838132176</v>
      </c>
      <c r="U54" s="11">
        <f t="shared" si="41"/>
        <v>890.6476252385121</v>
      </c>
      <c r="V54" s="11">
        <f t="shared" si="41"/>
        <v>759.8634374471302</v>
      </c>
      <c r="W54" s="11">
        <f t="shared" si="41"/>
        <v>648.2838186587492</v>
      </c>
      <c r="X54" s="11">
        <f t="shared" si="41"/>
        <v>553.0887378220663</v>
      </c>
      <c r="Y54" s="11">
        <f t="shared" si="41"/>
        <v>471.87226196468333</v>
      </c>
      <c r="Z54" s="11">
        <f t="shared" si="41"/>
        <v>402.58174933820374</v>
      </c>
      <c r="AA54" s="11">
        <f t="shared" si="41"/>
        <v>343.46597154366845</v>
      </c>
      <c r="AB54" s="11">
        <f t="shared" si="41"/>
        <v>293.03085349090657</v>
      </c>
    </row>
    <row r="55" spans="1:28" ht="13.5" customHeight="1" hidden="1">
      <c r="A55" s="36"/>
      <c r="C55" s="17" t="s">
        <v>35</v>
      </c>
      <c r="D55" s="11">
        <f>SUM(E54:N54)</f>
        <v>59092.033793521434</v>
      </c>
      <c r="E55" s="11">
        <f aca="true" t="shared" si="42" ref="E55:AB55">SUM(F54:O54)/E52</f>
        <v>62785.077003012964</v>
      </c>
      <c r="F55" s="11">
        <f t="shared" si="42"/>
        <v>66250.82715623951</v>
      </c>
      <c r="G55" s="11">
        <f t="shared" si="42"/>
        <v>68900.86024248909</v>
      </c>
      <c r="H55" s="11">
        <f t="shared" si="42"/>
        <v>71656.89465218867</v>
      </c>
      <c r="I55" s="11">
        <f t="shared" si="42"/>
        <v>74523.17043827621</v>
      </c>
      <c r="J55" s="11">
        <f t="shared" si="42"/>
        <v>77504.09725580727</v>
      </c>
      <c r="K55" s="11">
        <f t="shared" si="42"/>
        <v>80604.26114603957</v>
      </c>
      <c r="L55" s="11">
        <f t="shared" si="42"/>
        <v>83828.43159188116</v>
      </c>
      <c r="M55" s="11">
        <f t="shared" si="42"/>
        <v>87181.5688555564</v>
      </c>
      <c r="N55" s="11">
        <f t="shared" si="42"/>
        <v>90668.83160977866</v>
      </c>
      <c r="O55" s="11">
        <f t="shared" si="42"/>
        <v>94295.58487416981</v>
      </c>
      <c r="P55" s="11">
        <f t="shared" si="42"/>
        <v>98067.4082691366</v>
      </c>
      <c r="Q55" s="11">
        <f t="shared" si="42"/>
        <v>101990.10459990201</v>
      </c>
      <c r="R55" s="11">
        <f t="shared" si="42"/>
        <v>106069.70878389808</v>
      </c>
      <c r="S55" s="11">
        <f t="shared" si="42"/>
        <v>105437.22830962269</v>
      </c>
      <c r="T55" s="11">
        <f t="shared" si="42"/>
        <v>103711.76474356302</v>
      </c>
      <c r="U55" s="11">
        <f t="shared" si="42"/>
        <v>100615.7759939016</v>
      </c>
      <c r="V55" s="11">
        <f t="shared" si="42"/>
        <v>95809.41109892428</v>
      </c>
      <c r="W55" s="11">
        <f t="shared" si="42"/>
        <v>88876.80349844128</v>
      </c>
      <c r="X55" s="11">
        <f t="shared" si="42"/>
        <v>79309.3600882066</v>
      </c>
      <c r="Y55" s="11">
        <f t="shared" si="42"/>
        <v>66485.38803607477</v>
      </c>
      <c r="Z55" s="11">
        <f t="shared" si="42"/>
        <v>49645.257228068105</v>
      </c>
      <c r="AA55" s="11">
        <f t="shared" si="42"/>
        <v>27861.12054159169</v>
      </c>
      <c r="AB55" s="11">
        <f t="shared" si="42"/>
        <v>0</v>
      </c>
    </row>
    <row r="56" spans="1:28" ht="13.5" customHeight="1" hidden="1" thickBot="1">
      <c r="A56" s="36"/>
      <c r="C56" s="17" t="s">
        <v>33</v>
      </c>
      <c r="D56" s="11">
        <f>O53/(O51-$O$3)*N52</f>
        <v>15728.191446149704</v>
      </c>
      <c r="E56" s="11">
        <f aca="true" t="shared" si="43" ref="E56:AB56">P53/(P51-$O$3)*O52/E52</f>
        <v>16357.319103991455</v>
      </c>
      <c r="F56" s="11">
        <f t="shared" si="43"/>
        <v>17011.611868150765</v>
      </c>
      <c r="G56" s="11">
        <f t="shared" si="43"/>
        <v>17692.076342876793</v>
      </c>
      <c r="H56" s="11">
        <f t="shared" si="43"/>
        <v>18399.75939659185</v>
      </c>
      <c r="I56" s="11">
        <f t="shared" si="43"/>
        <v>19135.749772455525</v>
      </c>
      <c r="J56" s="11">
        <f t="shared" si="43"/>
        <v>19901.179763353743</v>
      </c>
      <c r="K56" s="11">
        <f t="shared" si="43"/>
        <v>20697.22695388788</v>
      </c>
      <c r="L56" s="11">
        <f t="shared" si="43"/>
        <v>21525.116032043396</v>
      </c>
      <c r="M56" s="11">
        <f t="shared" si="43"/>
        <v>22386.120673325113</v>
      </c>
      <c r="N56" s="11">
        <f t="shared" si="43"/>
        <v>23281.56550025812</v>
      </c>
      <c r="O56" s="11">
        <f t="shared" si="43"/>
        <v>24212.828120268427</v>
      </c>
      <c r="P56" s="11">
        <f t="shared" si="43"/>
        <v>25181.34124507915</v>
      </c>
      <c r="Q56" s="11">
        <f t="shared" si="43"/>
        <v>26188.5948948823</v>
      </c>
      <c r="R56" s="11">
        <f t="shared" si="43"/>
        <v>0</v>
      </c>
      <c r="S56" s="11">
        <f t="shared" si="43"/>
        <v>0</v>
      </c>
      <c r="T56" s="11">
        <f t="shared" si="43"/>
        <v>0</v>
      </c>
      <c r="U56" s="11">
        <f t="shared" si="43"/>
        <v>0</v>
      </c>
      <c r="V56" s="11">
        <f t="shared" si="43"/>
        <v>0</v>
      </c>
      <c r="W56" s="11">
        <f t="shared" si="43"/>
        <v>0</v>
      </c>
      <c r="X56" s="11">
        <f t="shared" si="43"/>
        <v>0</v>
      </c>
      <c r="Y56" s="11">
        <f t="shared" si="43"/>
        <v>0</v>
      </c>
      <c r="Z56" s="11">
        <f t="shared" si="43"/>
        <v>0</v>
      </c>
      <c r="AA56" s="11">
        <f t="shared" si="43"/>
        <v>0</v>
      </c>
      <c r="AB56" s="11">
        <f t="shared" si="43"/>
        <v>0</v>
      </c>
    </row>
    <row r="57" spans="1:28" ht="13.5" customHeight="1" thickBot="1">
      <c r="A57" s="36">
        <v>56</v>
      </c>
      <c r="C57" s="92" t="s">
        <v>45</v>
      </c>
      <c r="D57" s="91">
        <f aca="true" t="shared" si="44" ref="D57:AB57">D55+D56</f>
        <v>74820.22523967114</v>
      </c>
      <c r="E57" s="59">
        <f t="shared" si="44"/>
        <v>79142.39610700442</v>
      </c>
      <c r="F57" s="59">
        <f t="shared" si="44"/>
        <v>83262.43902439027</v>
      </c>
      <c r="G57" s="59">
        <f t="shared" si="44"/>
        <v>86592.93658536588</v>
      </c>
      <c r="H57" s="59">
        <f t="shared" si="44"/>
        <v>90056.65404878052</v>
      </c>
      <c r="I57" s="59">
        <f t="shared" si="44"/>
        <v>93658.92021073174</v>
      </c>
      <c r="J57" s="59">
        <f t="shared" si="44"/>
        <v>97405.277019161</v>
      </c>
      <c r="K57" s="59">
        <f t="shared" si="44"/>
        <v>101301.48809992745</v>
      </c>
      <c r="L57" s="59">
        <f t="shared" si="44"/>
        <v>105353.54762392456</v>
      </c>
      <c r="M57" s="59">
        <f t="shared" si="44"/>
        <v>109567.68952888151</v>
      </c>
      <c r="N57" s="59">
        <f t="shared" si="44"/>
        <v>113950.39711003678</v>
      </c>
      <c r="O57" s="59">
        <f t="shared" si="44"/>
        <v>118508.41299443824</v>
      </c>
      <c r="P57" s="59">
        <f t="shared" si="44"/>
        <v>123248.74951421576</v>
      </c>
      <c r="Q57" s="59">
        <f t="shared" si="44"/>
        <v>128178.69949478432</v>
      </c>
      <c r="R57" s="59">
        <f t="shared" si="44"/>
        <v>106069.70878389808</v>
      </c>
      <c r="S57" s="59">
        <f t="shared" si="44"/>
        <v>105437.22830962269</v>
      </c>
      <c r="T57" s="59">
        <f t="shared" si="44"/>
        <v>103711.76474356302</v>
      </c>
      <c r="U57" s="59">
        <f t="shared" si="44"/>
        <v>100615.7759939016</v>
      </c>
      <c r="V57" s="59">
        <f t="shared" si="44"/>
        <v>95809.41109892428</v>
      </c>
      <c r="W57" s="59">
        <f t="shared" si="44"/>
        <v>88876.80349844128</v>
      </c>
      <c r="X57" s="59">
        <f t="shared" si="44"/>
        <v>79309.3600882066</v>
      </c>
      <c r="Y57" s="59">
        <f t="shared" si="44"/>
        <v>66485.38803607477</v>
      </c>
      <c r="Z57" s="59">
        <f t="shared" si="44"/>
        <v>49645.257228068105</v>
      </c>
      <c r="AA57" s="59">
        <f t="shared" si="44"/>
        <v>27861.12054159169</v>
      </c>
      <c r="AB57" s="59">
        <f t="shared" si="44"/>
        <v>0</v>
      </c>
    </row>
    <row r="58" spans="1:28" ht="12.75" customHeight="1">
      <c r="A58" s="36">
        <v>57</v>
      </c>
      <c r="C58" s="62" t="s">
        <v>46</v>
      </c>
      <c r="D58" s="59">
        <f>D57</f>
        <v>74820.22523967114</v>
      </c>
      <c r="E58" s="59">
        <f aca="true" t="shared" si="45" ref="E58:AB58">D58*(1+D51)-E53</f>
        <v>79142.39610700442</v>
      </c>
      <c r="F58" s="59">
        <f t="shared" si="45"/>
        <v>83262.43902439023</v>
      </c>
      <c r="G58" s="59">
        <f t="shared" si="45"/>
        <v>86592.93658536585</v>
      </c>
      <c r="H58" s="59">
        <f t="shared" si="45"/>
        <v>90056.65404878049</v>
      </c>
      <c r="I58" s="59">
        <f t="shared" si="45"/>
        <v>93658.92021073171</v>
      </c>
      <c r="J58" s="59">
        <f t="shared" si="45"/>
        <v>97405.27701916097</v>
      </c>
      <c r="K58" s="59">
        <f t="shared" si="45"/>
        <v>101301.48809992742</v>
      </c>
      <c r="L58" s="59">
        <f t="shared" si="45"/>
        <v>105353.5476239245</v>
      </c>
      <c r="M58" s="59">
        <f t="shared" si="45"/>
        <v>109567.68952888148</v>
      </c>
      <c r="N58" s="59">
        <f t="shared" si="45"/>
        <v>113950.39711003672</v>
      </c>
      <c r="O58" s="59">
        <f t="shared" si="45"/>
        <v>118508.41299443819</v>
      </c>
      <c r="P58" s="59">
        <f t="shared" si="45"/>
        <v>123248.74951421568</v>
      </c>
      <c r="Q58" s="59">
        <f t="shared" si="45"/>
        <v>128178.69949478428</v>
      </c>
      <c r="R58" s="59">
        <f t="shared" si="45"/>
        <v>133305.84747457562</v>
      </c>
      <c r="S58" s="59">
        <f t="shared" si="45"/>
        <v>138638.0813735586</v>
      </c>
      <c r="T58" s="59">
        <f t="shared" si="45"/>
        <v>144183.60462850088</v>
      </c>
      <c r="U58" s="59">
        <f t="shared" si="45"/>
        <v>149950.94881364086</v>
      </c>
      <c r="V58" s="59">
        <f t="shared" si="45"/>
        <v>155948.98676618648</v>
      </c>
      <c r="W58" s="59">
        <f t="shared" si="45"/>
        <v>162186.9462368339</v>
      </c>
      <c r="X58" s="59">
        <f t="shared" si="45"/>
        <v>168674.4240863072</v>
      </c>
      <c r="Y58" s="59">
        <f t="shared" si="45"/>
        <v>175421.40104975944</v>
      </c>
      <c r="Z58" s="59">
        <f t="shared" si="45"/>
        <v>182438.25709174975</v>
      </c>
      <c r="AA58" s="59">
        <f t="shared" si="45"/>
        <v>189735.78737541966</v>
      </c>
      <c r="AB58" s="59">
        <f t="shared" si="45"/>
        <v>197325.21887043634</v>
      </c>
    </row>
    <row r="59" spans="1:28" s="30" customFormat="1" ht="12.75" customHeight="1">
      <c r="A59" s="36">
        <v>59</v>
      </c>
      <c r="C59" s="30" t="s">
        <v>47</v>
      </c>
      <c r="D59" s="34">
        <f aca="true" t="shared" si="46" ref="D59:AB59">(D58*D51+D41*D42*(1-$B68))/(D58+D41)</f>
        <v>0.15479999999983282</v>
      </c>
      <c r="E59" s="34">
        <f t="shared" si="46"/>
        <v>0.1547999999999864</v>
      </c>
      <c r="F59" s="34">
        <f t="shared" si="46"/>
        <v>0.15479999999999997</v>
      </c>
      <c r="G59" s="34">
        <f t="shared" si="46"/>
        <v>0.15480000000000002</v>
      </c>
      <c r="H59" s="34">
        <f t="shared" si="46"/>
        <v>0.15480000000000002</v>
      </c>
      <c r="I59" s="34">
        <f t="shared" si="46"/>
        <v>0.1548</v>
      </c>
      <c r="J59" s="34">
        <f t="shared" si="46"/>
        <v>0.1548</v>
      </c>
      <c r="K59" s="34">
        <f t="shared" si="46"/>
        <v>0.15480000000000002</v>
      </c>
      <c r="L59" s="34">
        <f t="shared" si="46"/>
        <v>0.15479999999999997</v>
      </c>
      <c r="M59" s="34">
        <f t="shared" si="46"/>
        <v>0.15479999999999997</v>
      </c>
      <c r="N59" s="34">
        <f t="shared" si="46"/>
        <v>0.15479999999999997</v>
      </c>
      <c r="O59" s="34">
        <f t="shared" si="46"/>
        <v>0.15479999999999997</v>
      </c>
      <c r="P59" s="34">
        <f t="shared" si="46"/>
        <v>0.15479999999999997</v>
      </c>
      <c r="Q59" s="34">
        <f t="shared" si="46"/>
        <v>0.15479999999999997</v>
      </c>
      <c r="R59" s="34">
        <f t="shared" si="46"/>
        <v>0.15479999999999997</v>
      </c>
      <c r="S59" s="34">
        <f t="shared" si="46"/>
        <v>0.1548</v>
      </c>
      <c r="T59" s="34">
        <f t="shared" si="46"/>
        <v>0.15479999999999997</v>
      </c>
      <c r="U59" s="34">
        <f t="shared" si="46"/>
        <v>0.15479999999999997</v>
      </c>
      <c r="V59" s="34">
        <f t="shared" si="46"/>
        <v>0.1548</v>
      </c>
      <c r="W59" s="34">
        <f t="shared" si="46"/>
        <v>0.15479999999999997</v>
      </c>
      <c r="X59" s="34">
        <f t="shared" si="46"/>
        <v>0.1548</v>
      </c>
      <c r="Y59" s="34">
        <f t="shared" si="46"/>
        <v>0.1548</v>
      </c>
      <c r="Z59" s="34">
        <f t="shared" si="46"/>
        <v>0.1548</v>
      </c>
      <c r="AA59" s="34">
        <f t="shared" si="46"/>
        <v>0.15479999999999997</v>
      </c>
      <c r="AB59" s="34">
        <f t="shared" si="46"/>
        <v>0.1548</v>
      </c>
    </row>
    <row r="60" spans="1:28" ht="12.75" customHeight="1" hidden="1">
      <c r="A60" s="36"/>
      <c r="C60" s="17" t="s">
        <v>48</v>
      </c>
      <c r="D60" s="13">
        <v>1</v>
      </c>
      <c r="E60" s="13">
        <f>1/(1+D59)</f>
        <v>0.8659508139938905</v>
      </c>
      <c r="F60" s="13">
        <f aca="true" t="shared" si="47" ref="F60:AB60">E60/(1+E59)</f>
        <v>0.7498708122565818</v>
      </c>
      <c r="G60" s="13">
        <f t="shared" si="47"/>
        <v>0.6493512402637528</v>
      </c>
      <c r="H60" s="13">
        <f t="shared" si="47"/>
        <v>0.5623062350742577</v>
      </c>
      <c r="I60" s="13">
        <f t="shared" si="47"/>
        <v>0.4869295419763229</v>
      </c>
      <c r="J60" s="13">
        <f t="shared" si="47"/>
        <v>0.42165703323200804</v>
      </c>
      <c r="K60" s="13">
        <f t="shared" si="47"/>
        <v>0.36513425115345344</v>
      </c>
      <c r="L60" s="13">
        <f t="shared" si="47"/>
        <v>0.31618830200333686</v>
      </c>
      <c r="M60" s="13">
        <f t="shared" si="47"/>
        <v>0.273803517495096</v>
      </c>
      <c r="N60" s="13">
        <f t="shared" si="47"/>
        <v>0.23710037884923452</v>
      </c>
      <c r="O60" s="13">
        <f t="shared" si="47"/>
        <v>0.2053172660627247</v>
      </c>
      <c r="P60" s="13">
        <f t="shared" si="47"/>
        <v>0.17779465367399092</v>
      </c>
      <c r="Q60" s="13">
        <f t="shared" si="47"/>
        <v>0.153961425072732</v>
      </c>
      <c r="R60" s="13">
        <f t="shared" si="47"/>
        <v>0.13332302136537236</v>
      </c>
      <c r="S60" s="13">
        <f t="shared" si="47"/>
        <v>0.11545117887545234</v>
      </c>
      <c r="T60" s="13">
        <f t="shared" si="47"/>
        <v>0.09997504232373773</v>
      </c>
      <c r="U60" s="13">
        <f t="shared" si="47"/>
        <v>0.0865734692793018</v>
      </c>
      <c r="V60" s="13">
        <f t="shared" si="47"/>
        <v>0.07496836619267562</v>
      </c>
      <c r="W60" s="13">
        <f t="shared" si="47"/>
        <v>0.06491891772833011</v>
      </c>
      <c r="X60" s="13">
        <f t="shared" si="47"/>
        <v>0.056216589650441726</v>
      </c>
      <c r="Y60" s="13">
        <f t="shared" si="47"/>
        <v>0.048680801567753486</v>
      </c>
      <c r="Z60" s="13">
        <f t="shared" si="47"/>
        <v>0.04215517974346509</v>
      </c>
      <c r="AA60" s="13">
        <f t="shared" si="47"/>
        <v>0.03650431221290707</v>
      </c>
      <c r="AB60" s="13">
        <f t="shared" si="47"/>
        <v>0.03161093887504942</v>
      </c>
    </row>
    <row r="61" spans="1:28" ht="12.75" customHeight="1" hidden="1">
      <c r="A61" s="60">
        <v>28</v>
      </c>
      <c r="B61" s="53"/>
      <c r="C61" s="53" t="s">
        <v>25</v>
      </c>
      <c r="D61" s="53"/>
      <c r="E61" s="53">
        <f aca="true" t="shared" si="48" ref="E61:AB61">E29</f>
        <v>12100.000000000002</v>
      </c>
      <c r="F61" s="53">
        <f t="shared" si="48"/>
        <v>13552</v>
      </c>
      <c r="G61" s="53">
        <f t="shared" si="48"/>
        <v>15930.880000000001</v>
      </c>
      <c r="H61" s="53">
        <f t="shared" si="48"/>
        <v>16568.115199999997</v>
      </c>
      <c r="I61" s="53">
        <f t="shared" si="48"/>
        <v>17230.839808000008</v>
      </c>
      <c r="J61" s="53">
        <f t="shared" si="48"/>
        <v>17920.07340032</v>
      </c>
      <c r="K61" s="53">
        <f t="shared" si="48"/>
        <v>18636.876336332803</v>
      </c>
      <c r="L61" s="53">
        <f t="shared" si="48"/>
        <v>19382.351389786123</v>
      </c>
      <c r="M61" s="53">
        <f t="shared" si="48"/>
        <v>20157.645445377566</v>
      </c>
      <c r="N61" s="53">
        <f t="shared" si="48"/>
        <v>20963.951263192666</v>
      </c>
      <c r="O61" s="53">
        <f t="shared" si="48"/>
        <v>21802.509313720377</v>
      </c>
      <c r="P61" s="53">
        <f t="shared" si="48"/>
        <v>22674.60968626921</v>
      </c>
      <c r="Q61" s="53">
        <f t="shared" si="48"/>
        <v>23581.59407371998</v>
      </c>
      <c r="R61" s="53">
        <f t="shared" si="48"/>
        <v>24524.857836668776</v>
      </c>
      <c r="S61" s="53">
        <f t="shared" si="48"/>
        <v>25505.85215013552</v>
      </c>
      <c r="T61" s="53">
        <f t="shared" si="48"/>
        <v>26526.086236140945</v>
      </c>
      <c r="U61" s="53">
        <f t="shared" si="48"/>
        <v>27587.129685586588</v>
      </c>
      <c r="V61" s="53">
        <f t="shared" si="48"/>
        <v>28690.61487301004</v>
      </c>
      <c r="W61" s="53">
        <f t="shared" si="48"/>
        <v>29838.239467930427</v>
      </c>
      <c r="X61" s="53">
        <f t="shared" si="48"/>
        <v>31031.76904664765</v>
      </c>
      <c r="Y61" s="53">
        <f t="shared" si="48"/>
        <v>32273.039808513553</v>
      </c>
      <c r="Z61" s="53">
        <f t="shared" si="48"/>
        <v>33563.961400854096</v>
      </c>
      <c r="AA61" s="53">
        <f t="shared" si="48"/>
        <v>34906.51985688826</v>
      </c>
      <c r="AB61" s="53">
        <f t="shared" si="48"/>
        <v>36302.78065116379</v>
      </c>
    </row>
    <row r="62" spans="1:28" ht="12.75" customHeight="1" hidden="1">
      <c r="A62" s="36"/>
      <c r="C62" s="17" t="s">
        <v>49</v>
      </c>
      <c r="D62" s="11"/>
      <c r="E62" s="11">
        <f aca="true" t="shared" si="49" ref="E62:AB62">E61*E60</f>
        <v>10478.004849326077</v>
      </c>
      <c r="F62" s="11">
        <f t="shared" si="49"/>
        <v>10162.249247701197</v>
      </c>
      <c r="G62" s="11">
        <f t="shared" si="49"/>
        <v>10344.736686493015</v>
      </c>
      <c r="H62" s="11">
        <f t="shared" si="49"/>
        <v>9316.35448038858</v>
      </c>
      <c r="I62" s="11">
        <f t="shared" si="49"/>
        <v>8390.204935576836</v>
      </c>
      <c r="J62" s="11">
        <f t="shared" si="49"/>
        <v>7556.124985278754</v>
      </c>
      <c r="K62" s="11">
        <f t="shared" si="49"/>
        <v>6804.961884906395</v>
      </c>
      <c r="L62" s="11">
        <f t="shared" si="49"/>
        <v>6128.472774768491</v>
      </c>
      <c r="M62" s="11">
        <f t="shared" si="49"/>
        <v>5519.2342273633785</v>
      </c>
      <c r="N62" s="11">
        <f t="shared" si="49"/>
        <v>4970.56078667987</v>
      </c>
      <c r="O62" s="11">
        <f t="shared" si="49"/>
        <v>4476.43160560016</v>
      </c>
      <c r="P62" s="11">
        <f t="shared" si="49"/>
        <v>4031.424376363154</v>
      </c>
      <c r="Q62" s="11">
        <f t="shared" si="49"/>
        <v>3630.6558290766197</v>
      </c>
      <c r="R62" s="11">
        <f t="shared" si="49"/>
        <v>3269.728145340911</v>
      </c>
      <c r="S62" s="11">
        <f t="shared" si="49"/>
        <v>2944.6806989561364</v>
      </c>
      <c r="T62" s="11">
        <f t="shared" si="49"/>
        <v>2651.9465941413077</v>
      </c>
      <c r="U62" s="11">
        <f t="shared" si="49"/>
        <v>2388.3135243392453</v>
      </c>
      <c r="V62" s="11">
        <f t="shared" si="49"/>
        <v>2150.8885220928423</v>
      </c>
      <c r="W62" s="11">
        <f t="shared" si="49"/>
        <v>1937.0662131767879</v>
      </c>
      <c r="X62" s="11">
        <f t="shared" si="49"/>
        <v>1744.5002266226702</v>
      </c>
      <c r="Y62" s="11">
        <f t="shared" si="49"/>
        <v>1571.0774469064572</v>
      </c>
      <c r="Z62" s="11">
        <f t="shared" si="49"/>
        <v>1414.8948257557288</v>
      </c>
      <c r="AA62" s="11">
        <f t="shared" si="49"/>
        <v>1274.2384991218894</v>
      </c>
      <c r="AB62" s="11">
        <f t="shared" si="49"/>
        <v>1147.5649801582654</v>
      </c>
    </row>
    <row r="63" spans="1:28" ht="12.75" customHeight="1" hidden="1">
      <c r="A63" s="36"/>
      <c r="C63" s="17" t="s">
        <v>35</v>
      </c>
      <c r="D63" s="11">
        <f>SUM(E62:N62)</f>
        <v>79670.9048584826</v>
      </c>
      <c r="E63" s="11">
        <f aca="true" t="shared" si="50" ref="E63:AB63">SUM(F62:O62)/E60</f>
        <v>85073.34414870868</v>
      </c>
      <c r="F63" s="11">
        <f t="shared" si="50"/>
        <v>90066.85636979976</v>
      </c>
      <c r="G63" s="11">
        <f t="shared" si="50"/>
        <v>93669.53062459176</v>
      </c>
      <c r="H63" s="11">
        <f t="shared" si="50"/>
        <v>97416.31184957545</v>
      </c>
      <c r="I63" s="11">
        <f t="shared" si="50"/>
        <v>101312.96432355848</v>
      </c>
      <c r="J63" s="11">
        <f t="shared" si="50"/>
        <v>105365.48289650082</v>
      </c>
      <c r="K63" s="11">
        <f t="shared" si="50"/>
        <v>109580.10221236087</v>
      </c>
      <c r="L63" s="11">
        <f t="shared" si="50"/>
        <v>113963.3063008553</v>
      </c>
      <c r="M63" s="11">
        <f t="shared" si="50"/>
        <v>118521.83855288955</v>
      </c>
      <c r="N63" s="11">
        <f t="shared" si="50"/>
        <v>123262.71209500512</v>
      </c>
      <c r="O63" s="11">
        <f t="shared" si="50"/>
        <v>128193.22057880534</v>
      </c>
      <c r="P63" s="11">
        <f t="shared" si="50"/>
        <v>133320.94940195754</v>
      </c>
      <c r="Q63" s="11">
        <f t="shared" si="50"/>
        <v>138653.7873780358</v>
      </c>
      <c r="R63" s="11">
        <f t="shared" si="50"/>
        <v>144199.93887315725</v>
      </c>
      <c r="S63" s="11">
        <f t="shared" si="50"/>
        <v>141016.23726058647</v>
      </c>
      <c r="T63" s="11">
        <f t="shared" si="50"/>
        <v>136319.46455238434</v>
      </c>
      <c r="U63" s="11">
        <f t="shared" si="50"/>
        <v>129834.58797950683</v>
      </c>
      <c r="V63" s="11">
        <f t="shared" si="50"/>
        <v>121242.36732572442</v>
      </c>
      <c r="W63" s="11">
        <f t="shared" si="50"/>
        <v>110172.44631981615</v>
      </c>
      <c r="X63" s="11">
        <f t="shared" si="50"/>
        <v>96195.37196347608</v>
      </c>
      <c r="Y63" s="11">
        <f t="shared" si="50"/>
        <v>78813.37573490861</v>
      </c>
      <c r="Z63" s="11">
        <f t="shared" si="50"/>
        <v>57449.72489781836</v>
      </c>
      <c r="AA63" s="11">
        <f t="shared" si="50"/>
        <v>31436.42245511239</v>
      </c>
      <c r="AB63" s="11">
        <f t="shared" si="50"/>
        <v>0</v>
      </c>
    </row>
    <row r="64" spans="1:28" ht="12.75" customHeight="1" hidden="1">
      <c r="A64" s="36"/>
      <c r="C64" s="17" t="s">
        <v>33</v>
      </c>
      <c r="D64" s="11">
        <f>O61/(O59-$O$3)*N60</f>
        <v>45029.47054135076</v>
      </c>
      <c r="E64" s="11">
        <f aca="true" t="shared" si="51" ref="E64:AB64">P61/(P59-$O$3)*O60/E60</f>
        <v>46830.64936299805</v>
      </c>
      <c r="F64" s="11">
        <f t="shared" si="51"/>
        <v>48703.8753375174</v>
      </c>
      <c r="G64" s="11">
        <f t="shared" si="51"/>
        <v>50652.0303510181</v>
      </c>
      <c r="H64" s="11">
        <f t="shared" si="51"/>
        <v>52678.11156505879</v>
      </c>
      <c r="I64" s="11">
        <f t="shared" si="51"/>
        <v>54785.23602766117</v>
      </c>
      <c r="J64" s="11">
        <f t="shared" si="51"/>
        <v>56976.64546876762</v>
      </c>
      <c r="K64" s="11">
        <f t="shared" si="51"/>
        <v>59255.71128751828</v>
      </c>
      <c r="L64" s="11">
        <f t="shared" si="51"/>
        <v>61625.939739019</v>
      </c>
      <c r="M64" s="11">
        <f t="shared" si="51"/>
        <v>64090.97732857974</v>
      </c>
      <c r="N64" s="11">
        <f t="shared" si="51"/>
        <v>66654.61642172292</v>
      </c>
      <c r="O64" s="11">
        <f t="shared" si="51"/>
        <v>69320.80107859186</v>
      </c>
      <c r="P64" s="11">
        <f t="shared" si="51"/>
        <v>72093.63312173556</v>
      </c>
      <c r="Q64" s="11">
        <f t="shared" si="51"/>
        <v>74977.37844660494</v>
      </c>
      <c r="R64" s="11">
        <f t="shared" si="51"/>
        <v>0</v>
      </c>
      <c r="S64" s="11">
        <f t="shared" si="51"/>
        <v>0</v>
      </c>
      <c r="T64" s="11">
        <f t="shared" si="51"/>
        <v>0</v>
      </c>
      <c r="U64" s="11">
        <f t="shared" si="51"/>
        <v>0</v>
      </c>
      <c r="V64" s="11">
        <f t="shared" si="51"/>
        <v>0</v>
      </c>
      <c r="W64" s="11">
        <f t="shared" si="51"/>
        <v>0</v>
      </c>
      <c r="X64" s="11">
        <f t="shared" si="51"/>
        <v>0</v>
      </c>
      <c r="Y64" s="11">
        <f t="shared" si="51"/>
        <v>0</v>
      </c>
      <c r="Z64" s="11">
        <f t="shared" si="51"/>
        <v>0</v>
      </c>
      <c r="AA64" s="11">
        <f t="shared" si="51"/>
        <v>0</v>
      </c>
      <c r="AB64" s="11">
        <f t="shared" si="51"/>
        <v>0</v>
      </c>
    </row>
    <row r="65" spans="1:28" ht="12.75" customHeight="1">
      <c r="A65" s="36">
        <v>60</v>
      </c>
      <c r="B65" s="7" t="s">
        <v>50</v>
      </c>
      <c r="C65" s="53" t="s">
        <v>51</v>
      </c>
      <c r="D65" s="56">
        <f aca="true" t="shared" si="52" ref="D65:AB65">D63+D64</f>
        <v>124700.37539983336</v>
      </c>
      <c r="E65" s="56">
        <f t="shared" si="52"/>
        <v>131903.99351170674</v>
      </c>
      <c r="F65" s="56">
        <f t="shared" si="52"/>
        <v>138770.73170731717</v>
      </c>
      <c r="G65" s="56">
        <f t="shared" si="52"/>
        <v>144321.56097560987</v>
      </c>
      <c r="H65" s="56">
        <f t="shared" si="52"/>
        <v>150094.42341463425</v>
      </c>
      <c r="I65" s="55">
        <f t="shared" si="52"/>
        <v>156098.20035121965</v>
      </c>
      <c r="J65" s="55">
        <f t="shared" si="52"/>
        <v>162342.12836526844</v>
      </c>
      <c r="K65" s="55">
        <f t="shared" si="52"/>
        <v>168835.81349987915</v>
      </c>
      <c r="L65" s="55">
        <f t="shared" si="52"/>
        <v>175589.2460398743</v>
      </c>
      <c r="M65" s="55">
        <f t="shared" si="52"/>
        <v>182612.8158814693</v>
      </c>
      <c r="N65" s="55">
        <f t="shared" si="52"/>
        <v>189917.32851672804</v>
      </c>
      <c r="O65" s="55">
        <f t="shared" si="52"/>
        <v>197514.0216573972</v>
      </c>
      <c r="P65" s="55">
        <f t="shared" si="52"/>
        <v>205414.5825236931</v>
      </c>
      <c r="Q65" s="55">
        <f t="shared" si="52"/>
        <v>213631.16582464075</v>
      </c>
      <c r="R65" s="55">
        <f t="shared" si="52"/>
        <v>144199.93887315725</v>
      </c>
      <c r="S65" s="55">
        <f t="shared" si="52"/>
        <v>141016.23726058647</v>
      </c>
      <c r="T65" s="55">
        <f t="shared" si="52"/>
        <v>136319.46455238434</v>
      </c>
      <c r="U65" s="55">
        <f t="shared" si="52"/>
        <v>129834.58797950683</v>
      </c>
      <c r="V65" s="55">
        <f t="shared" si="52"/>
        <v>121242.36732572442</v>
      </c>
      <c r="W65" s="55">
        <f t="shared" si="52"/>
        <v>110172.44631981615</v>
      </c>
      <c r="X65" s="55">
        <f t="shared" si="52"/>
        <v>96195.37196347608</v>
      </c>
      <c r="Y65" s="55">
        <f t="shared" si="52"/>
        <v>78813.37573490861</v>
      </c>
      <c r="Z65" s="55">
        <f t="shared" si="52"/>
        <v>57449.72489781836</v>
      </c>
      <c r="AA65" s="55">
        <f t="shared" si="52"/>
        <v>31436.42245511239</v>
      </c>
      <c r="AB65" s="55">
        <f t="shared" si="52"/>
        <v>0</v>
      </c>
    </row>
    <row r="66" spans="1:28" ht="12.75" customHeight="1">
      <c r="A66" s="36">
        <v>61</v>
      </c>
      <c r="B66" s="7" t="s">
        <v>40</v>
      </c>
      <c r="C66" s="57" t="s">
        <v>52</v>
      </c>
      <c r="D66" s="59">
        <f aca="true" t="shared" si="53" ref="D66:AB66">D65-D41</f>
        <v>74820.22524008184</v>
      </c>
      <c r="E66" s="59">
        <f t="shared" si="53"/>
        <v>79142.39610703941</v>
      </c>
      <c r="F66" s="59">
        <f t="shared" si="53"/>
        <v>83262.43902439027</v>
      </c>
      <c r="G66" s="59">
        <f t="shared" si="53"/>
        <v>86592.93658536591</v>
      </c>
      <c r="H66" s="59">
        <f t="shared" si="53"/>
        <v>90056.65404878053</v>
      </c>
      <c r="I66" s="59">
        <f t="shared" si="53"/>
        <v>93658.92021073178</v>
      </c>
      <c r="J66" s="59">
        <f t="shared" si="53"/>
        <v>97405.27701916105</v>
      </c>
      <c r="K66" s="59">
        <f t="shared" si="53"/>
        <v>101301.48809992746</v>
      </c>
      <c r="L66" s="59">
        <f t="shared" si="53"/>
        <v>105353.54762392453</v>
      </c>
      <c r="M66" s="64">
        <f t="shared" si="53"/>
        <v>109567.68952888153</v>
      </c>
      <c r="N66" s="59">
        <f t="shared" si="53"/>
        <v>113950.39711003676</v>
      </c>
      <c r="O66" s="59">
        <f t="shared" si="53"/>
        <v>118508.41299443829</v>
      </c>
      <c r="P66" s="59">
        <f t="shared" si="53"/>
        <v>123248.74951421581</v>
      </c>
      <c r="Q66" s="52">
        <f t="shared" si="53"/>
        <v>128178.69949478436</v>
      </c>
      <c r="R66" s="52">
        <f t="shared" si="53"/>
        <v>55329.37389010661</v>
      </c>
      <c r="S66" s="52">
        <f t="shared" si="53"/>
        <v>48590.849678213795</v>
      </c>
      <c r="T66" s="52">
        <f t="shared" si="53"/>
        <v>40197.061466716754</v>
      </c>
      <c r="U66" s="52">
        <f t="shared" si="53"/>
        <v>29867.288770412546</v>
      </c>
      <c r="V66" s="52">
        <f t="shared" si="53"/>
        <v>17276.37614826637</v>
      </c>
      <c r="W66" s="52">
        <f t="shared" si="53"/>
        <v>2047.8154952597688</v>
      </c>
      <c r="X66" s="52">
        <f t="shared" si="53"/>
        <v>-16254.244094062567</v>
      </c>
      <c r="Y66" s="52">
        <f t="shared" si="53"/>
        <v>-38134.22496493159</v>
      </c>
      <c r="Z66" s="52">
        <f t="shared" si="53"/>
        <v>-64175.77983001545</v>
      </c>
      <c r="AA66" s="52">
        <f t="shared" si="53"/>
        <v>-95054.10246183479</v>
      </c>
      <c r="AB66" s="52">
        <f t="shared" si="53"/>
        <v>-131550.14591362508</v>
      </c>
    </row>
    <row r="67" ht="12.75" customHeight="1"/>
    <row r="68" ht="12.75" customHeight="1">
      <c r="B68" s="73">
        <f>H2</f>
        <v>0.35</v>
      </c>
    </row>
    <row r="69" ht="12.75" customHeight="1"/>
  </sheetData>
  <printOptions gridLines="1"/>
  <pageMargins left="0.7499999999999608" right="0.395669291338582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2001-07-17T10:28:51Z</dcterms:created>
  <dcterms:modified xsi:type="dcterms:W3CDTF">2004-03-09T12:36:59Z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1887591780</vt:i4>
  </property>
  <property fmtid="{D5CDD505-2E9C-101B-9397-08002B2CF9AE}" pid="4" name="_EmailSubje">
    <vt:lpwstr>Cambiar estas tablas cap 21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