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7" sheetId="1" r:id="rId1"/>
  </sheets>
  <definedNames>
    <definedName name="_xlnm.Print_Area" localSheetId="0">'20.7'!$B$1:$P$75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<sst xmlns="http://schemas.openxmlformats.org/spreadsheetml/2006/main" count="66" uniqueCount="64">
  <si>
    <t>RJR NABISCO. 3. Estrategia del grupo de dirección</t>
  </si>
  <si>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</si>
  <si>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</si>
  <si>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</si>
  <si>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</si>
  <si>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</si>
  <si>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</si>
  <si>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</si>
  <si>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</si>
  <si>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</si>
  <si>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</si>
  <si>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</si>
  <si>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</si>
  <si>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</si>
  <si>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</si>
  <si>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</si>
  <si>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</si>
  <si>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</si>
  <si>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</si>
  <si>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</si>
  <si>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</si>
  <si>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</si>
  <si>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</si>
  <si>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</si>
  <si>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</si>
  <si>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</si>
  <si>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</si>
  <si>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</si>
  <si>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</si>
  <si>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</si>
  <si>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</si>
  <si>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</si>
  <si>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</si>
  <si>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</si>
  <si>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</si>
  <si>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</si>
  <si>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</si>
  <si>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</si>
  <si>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</si>
  <si>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</si>
  <si>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</si>
  <si>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Considerando las preferentes y preferentes conv aparte</t>
  </si>
  <si>
    <t>Rf</t>
  </si>
  <si>
    <t>Pm</t>
  </si>
  <si>
    <t>Beta u</t>
  </si>
  <si>
    <t>beta L</t>
  </si>
  <si>
    <t>Ke</t>
  </si>
  <si>
    <t>Producto (1+Ke)</t>
  </si>
  <si>
    <t>CFac / Producto (1+Ke)</t>
  </si>
  <si>
    <t>E=VA(CFac;Ke)</t>
  </si>
  <si>
    <t>CF prefer</t>
  </si>
  <si>
    <t>beta pref</t>
  </si>
  <si>
    <t>Kpref</t>
  </si>
  <si>
    <t>Producto (1+Kpr)</t>
  </si>
  <si>
    <t>CFpref / Producto (1+Ke)</t>
  </si>
  <si>
    <t>Pr=VA(CFpr;Kpr)</t>
  </si>
  <si>
    <t>CF prefer conv</t>
  </si>
  <si>
    <t>beta prcon</t>
  </si>
  <si>
    <t>Kpref con</t>
  </si>
  <si>
    <t>Producto (1+Kprco)</t>
  </si>
  <si>
    <t>CFprco / Producto (1+Kpreco)</t>
  </si>
  <si>
    <t>PrCo=VA(CFprco;Kprco)</t>
  </si>
  <si>
    <t>D</t>
  </si>
  <si>
    <t>D+E+Pr+PrCo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</si>
</sst>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1" fillId="0" borderId="4" xfId="0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1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945"/>
          <c:w val="0.933"/>
          <c:h val="0.90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'20.7'!#REF!</c:f>
              <c:strCache>
                <c:ptCount val="1"/>
                <c:pt idx="0">
                  <c:v>E-Valor contable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'20.7'!#REF!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'20.7'!#REF!</c:f>
              <c:numCache>
                <c:ptCount val="14"/>
                <c:pt idx="0">
                  <c:v>1952.5588093850438</c:v>
                </c:pt>
                <c:pt idx="1">
                  <c:v>5281.086585895814</c:v>
                </c:pt>
                <c:pt idx="2">
                  <c:v>7112.522640317762</c:v>
                </c:pt>
                <c:pt idx="3">
                  <c:v>8937.023336848612</c:v>
                </c:pt>
                <c:pt idx="4">
                  <c:v>10751.377800892358</c:v>
                </c:pt>
                <c:pt idx="5">
                  <c:v>12652.429000251605</c:v>
                </c:pt>
                <c:pt idx="6">
                  <c:v>14640.867236759457</c:v>
                </c:pt>
                <c:pt idx="7">
                  <c:v>16723.15549208752</c:v>
                </c:pt>
                <c:pt idx="8">
                  <c:v>18905.899621898287</c:v>
                </c:pt>
                <c:pt idx="9">
                  <c:v>21126.929449174906</c:v>
                </c:pt>
                <c:pt idx="10">
                  <c:v>23080.579703052194</c:v>
                </c:pt>
                <c:pt idx="11">
                  <c:v>24770.73409735858</c:v>
                </c:pt>
                <c:pt idx="12">
                  <c:v>26009.36540893193</c:v>
                </c:pt>
                <c:pt idx="13">
                  <c:v>26870.13271711057</c:v>
                </c:pt>
              </c:numCache>
            </c:numRef>
          </c:val>
        </c:ser>
        <c:ser>
          <c:idx val="5"/>
          <c:order val="1"/>
          <c:tx>
            <c:strRef>
              <c:f>'20.7'!#REF!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'20.7'!#REF!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'20.7'!#REF!</c:f>
              <c:numCache>
                <c:ptCount val="14"/>
                <c:pt idx="1">
                  <c:v>-1079.4986527175358</c:v>
                </c:pt>
                <c:pt idx="2">
                  <c:v>-791.7778326781859</c:v>
                </c:pt>
                <c:pt idx="3">
                  <c:v>-522.0555445996049</c:v>
                </c:pt>
                <c:pt idx="4">
                  <c:v>-240.50834059025965</c:v>
                </c:pt>
                <c:pt idx="5">
                  <c:v>-45.104870062228656</c:v>
                </c:pt>
                <c:pt idx="6">
                  <c:v>171.93911110287036</c:v>
                </c:pt>
                <c:pt idx="7">
                  <c:v>408.778340996153</c:v>
                </c:pt>
                <c:pt idx="8">
                  <c:v>668.9172800465167</c:v>
                </c:pt>
                <c:pt idx="9">
                  <c:v>981.2669995660103</c:v>
                </c:pt>
                <c:pt idx="10">
                  <c:v>1376.417410671981</c:v>
                </c:pt>
                <c:pt idx="11">
                  <c:v>1669.9781331499348</c:v>
                </c:pt>
                <c:pt idx="12">
                  <c:v>2050.997724732919</c:v>
                </c:pt>
                <c:pt idx="13">
                  <c:v>2413.050752845037</c:v>
                </c:pt>
              </c:numCache>
            </c:numRef>
          </c:val>
        </c:ser>
        <c:overlap val="30"/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82471"/>
        <c:crossesAt val="0"/>
        <c:auto val="0"/>
        <c:lblOffset val="100"/>
        <c:noMultiLvlLbl val="0"/>
      </c:catAx>
      <c:valAx>
        <c:axId val="59882471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36310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65"/>
          <c:y val="0.09875"/>
          <c:w val="0.3575"/>
          <c:h val="0.121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'20.7'!#REF!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'20.7'!#REF!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'20.7'!#REF!</c:f>
              <c:numCache>
                <c:ptCount val="13"/>
                <c:pt idx="0">
                  <c:v>-1079.4986527175358</c:v>
                </c:pt>
                <c:pt idx="1">
                  <c:v>-791.7778326781859</c:v>
                </c:pt>
                <c:pt idx="2">
                  <c:v>-522.0555445996049</c:v>
                </c:pt>
                <c:pt idx="3">
                  <c:v>-240.50834059025965</c:v>
                </c:pt>
                <c:pt idx="4">
                  <c:v>-45.104870062228656</c:v>
                </c:pt>
                <c:pt idx="5">
                  <c:v>171.93911110287036</c:v>
                </c:pt>
                <c:pt idx="6">
                  <c:v>408.778340996153</c:v>
                </c:pt>
                <c:pt idx="7">
                  <c:v>668.9172800465167</c:v>
                </c:pt>
                <c:pt idx="8">
                  <c:v>981.2669995660103</c:v>
                </c:pt>
                <c:pt idx="9">
                  <c:v>1376.417410671981</c:v>
                </c:pt>
                <c:pt idx="10">
                  <c:v>1669.9781331499348</c:v>
                </c:pt>
                <c:pt idx="11">
                  <c:v>2050.997724732919</c:v>
                </c:pt>
                <c:pt idx="12">
                  <c:v>2413.050752845037</c:v>
                </c:pt>
              </c:numCache>
            </c:numRef>
          </c:val>
        </c:ser>
        <c:ser>
          <c:idx val="5"/>
          <c:order val="1"/>
          <c:tx>
            <c:strRef>
              <c:f>'20.7'!#REF!</c:f>
              <c:strCache>
                <c:ptCount val="1"/>
                <c:pt idx="0">
                  <c:v>EVA KKR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'20.7'!#REF!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'20.7'!#REF!</c:f>
              <c:numCache>
                <c:ptCount val="13"/>
                <c:pt idx="0">
                  <c:v>-1678.7886850482328</c:v>
                </c:pt>
                <c:pt idx="1">
                  <c:v>-1061.9383056209185</c:v>
                </c:pt>
                <c:pt idx="2">
                  <c:v>-601.1482811223</c:v>
                </c:pt>
                <c:pt idx="3">
                  <c:v>-393.29433121382954</c:v>
                </c:pt>
                <c:pt idx="4">
                  <c:v>-261.95872267799905</c:v>
                </c:pt>
                <c:pt idx="5">
                  <c:v>-22.54345618187699</c:v>
                </c:pt>
                <c:pt idx="6">
                  <c:v>238.09828280002876</c:v>
                </c:pt>
                <c:pt idx="7">
                  <c:v>513.2970348588797</c:v>
                </c:pt>
                <c:pt idx="8">
                  <c:v>846.7429588031027</c:v>
                </c:pt>
                <c:pt idx="9">
                  <c:v>1271.4773016719241</c:v>
                </c:pt>
                <c:pt idx="10">
                  <c:v>1739.1638298535108</c:v>
                </c:pt>
                <c:pt idx="11">
                  <c:v>2247.307898131246</c:v>
                </c:pt>
                <c:pt idx="12">
                  <c:v>2689.8466028432395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641953"/>
        <c:crossesAt val="0"/>
        <c:auto val="0"/>
        <c:lblOffset val="100"/>
        <c:noMultiLvlLbl val="0"/>
      </c:catAx>
      <c:valAx>
        <c:axId val="18641953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1328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5"/>
          <c:y val="0.073"/>
          <c:w val="0.39325"/>
          <c:h val="0.09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99</xdr:row>
      <xdr:rowOff>66675</xdr:rowOff>
    </xdr:from>
    <xdr:to>
      <xdr:col>13</xdr:col>
      <xdr:colOff>57150</xdr:colOff>
      <xdr:row>113</xdr:row>
      <xdr:rowOff>9525</xdr:rowOff>
    </xdr:to>
    <xdr:graphicFrame>
      <xdr:nvGraphicFramePr>
        <xdr:cNvPr id="1" name="Chart 3"/>
        <xdr:cNvGraphicFramePr/>
      </xdr:nvGraphicFramePr>
      <xdr:xfrm>
        <a:off x="238125" y="15697200"/>
        <a:ext cx="7715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13</xdr:col>
      <xdr:colOff>57150</xdr:colOff>
      <xdr:row>126</xdr:row>
      <xdr:rowOff>133350</xdr:rowOff>
    </xdr:to>
    <xdr:graphicFrame>
      <xdr:nvGraphicFramePr>
        <xdr:cNvPr id="2" name="Chart 4"/>
        <xdr:cNvGraphicFramePr/>
      </xdr:nvGraphicFramePr>
      <xdr:xfrm>
        <a:off x="238125" y="18221325"/>
        <a:ext cx="77152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workbookViewId="0" topLeftCell="A48">
      <selection activeCell="B68" sqref="B68"/>
    </sheetView>
  </sheetViews>
  <sheetFormatPr defaultColWidth="9.00390625" defaultRowHeight="12.75"/>
  <cols>
    <col min="1" max="1" width="3.125" style="11" customWidth="1"/>
    <col min="2" max="2" width="20.75390625" style="5" customWidth="1"/>
    <col min="3" max="12" width="7.25390625" style="5" customWidth="1"/>
    <col min="13" max="13" width="7.25390625" style="11" customWidth="1"/>
    <col min="14" max="16" width="7.25390625" style="5" customWidth="1"/>
    <col min="17" max="17" width="5.75390625" style="5" customWidth="1"/>
    <col min="18" max="18" width="6.75390625" style="5" customWidth="1"/>
    <col min="19" max="16384" width="10.75390625" style="5" customWidth="1"/>
  </cols>
  <sheetData>
    <row r="1" spans="1:13" s="2" customFormat="1" ht="18" customHeight="1">
      <c r="A1" s="1"/>
      <c r="C1" s="3"/>
      <c r="D1" s="3"/>
      <c r="E1" s="3" t="s">
        <v>0</v>
      </c>
      <c r="G1" s="3"/>
      <c r="H1" s="3"/>
      <c r="I1" s="3"/>
      <c r="M1" s="1"/>
    </row>
    <row r="2" spans="1:13" s="2" customFormat="1" ht="10.5" customHeight="1">
      <c r="A2" s="1"/>
      <c r="C2" s="3"/>
      <c r="D2" s="3"/>
      <c r="E2" s="3"/>
      <c r="G2" s="3"/>
      <c r="H2" s="3"/>
      <c r="I2" s="3"/>
      <c r="M2" s="1"/>
    </row>
    <row r="3" spans="1:16" s="2" customFormat="1" ht="12.75">
      <c r="A3" s="1"/>
      <c r="B3" s="4" t="s">
        <v>1</v>
      </c>
      <c r="C3" s="2">
        <v>1988</v>
      </c>
      <c r="D3" s="2">
        <f aca="true" t="shared" si="0" ref="D3:P3">C3+1</f>
        <v>1989</v>
      </c>
      <c r="E3" s="2">
        <f t="shared" si="0"/>
        <v>1990</v>
      </c>
      <c r="F3" s="2">
        <f t="shared" si="0"/>
        <v>1991</v>
      </c>
      <c r="G3" s="2">
        <f t="shared" si="0"/>
        <v>1992</v>
      </c>
      <c r="H3" s="2">
        <f t="shared" si="0"/>
        <v>1993</v>
      </c>
      <c r="I3" s="2">
        <f t="shared" si="0"/>
        <v>1994</v>
      </c>
      <c r="J3" s="2">
        <f t="shared" si="0"/>
        <v>1995</v>
      </c>
      <c r="K3" s="2">
        <f t="shared" si="0"/>
        <v>1996</v>
      </c>
      <c r="L3" s="2">
        <f t="shared" si="0"/>
        <v>1997</v>
      </c>
      <c r="M3" s="1">
        <f t="shared" si="0"/>
        <v>1998</v>
      </c>
      <c r="N3" s="2">
        <f t="shared" si="0"/>
        <v>1999</v>
      </c>
      <c r="O3" s="2">
        <f t="shared" si="0"/>
        <v>2000</v>
      </c>
      <c r="P3" s="2">
        <f t="shared" si="0"/>
        <v>2001</v>
      </c>
    </row>
    <row r="4" spans="1:16" s="2" customFormat="1" ht="12.75">
      <c r="A4" s="1"/>
      <c r="B4" s="5" t="s">
        <v>2</v>
      </c>
      <c r="C4" s="6">
        <v>1191</v>
      </c>
      <c r="D4" s="6">
        <f>C4+D37-590</f>
        <v>642</v>
      </c>
      <c r="E4" s="6">
        <f aca="true" t="shared" si="1" ref="E4:P4">D4+E37</f>
        <v>687</v>
      </c>
      <c r="F4" s="6">
        <f t="shared" si="1"/>
        <v>735</v>
      </c>
      <c r="G4" s="6">
        <f t="shared" si="1"/>
        <v>787</v>
      </c>
      <c r="H4" s="6">
        <f t="shared" si="1"/>
        <v>844</v>
      </c>
      <c r="I4" s="6">
        <f t="shared" si="1"/>
        <v>905</v>
      </c>
      <c r="J4" s="6">
        <f t="shared" si="1"/>
        <v>972</v>
      </c>
      <c r="K4" s="6">
        <f t="shared" si="1"/>
        <v>1044</v>
      </c>
      <c r="L4" s="6">
        <f t="shared" si="1"/>
        <v>1122</v>
      </c>
      <c r="M4" s="7">
        <f t="shared" si="1"/>
        <v>1207</v>
      </c>
      <c r="N4" s="6">
        <f t="shared" si="1"/>
        <v>1299</v>
      </c>
      <c r="O4" s="6">
        <f t="shared" si="1"/>
        <v>1399</v>
      </c>
      <c r="P4" s="6">
        <f t="shared" si="1"/>
        <v>1507</v>
      </c>
    </row>
    <row r="5" spans="1:16" s="2" customFormat="1" ht="12.75">
      <c r="A5" s="1"/>
      <c r="B5" s="5" t="s">
        <v>3</v>
      </c>
      <c r="C5" s="6">
        <f>C13-C4</f>
        <v>26758</v>
      </c>
      <c r="D5" s="6">
        <f>C5+D36-D35-D17+590</f>
        <v>14323</v>
      </c>
      <c r="E5" s="6">
        <f aca="true" t="shared" si="2" ref="E5:P5">D5+E36-E35</f>
        <v>13979</v>
      </c>
      <c r="F5" s="6">
        <f t="shared" si="2"/>
        <v>13633</v>
      </c>
      <c r="G5" s="6">
        <f t="shared" si="2"/>
        <v>13287</v>
      </c>
      <c r="H5" s="6">
        <f t="shared" si="2"/>
        <v>12934</v>
      </c>
      <c r="I5" s="6">
        <f t="shared" si="2"/>
        <v>12582</v>
      </c>
      <c r="J5" s="6">
        <f t="shared" si="2"/>
        <v>12236</v>
      </c>
      <c r="K5" s="6">
        <f t="shared" si="2"/>
        <v>11895</v>
      </c>
      <c r="L5" s="6">
        <f t="shared" si="2"/>
        <v>11558</v>
      </c>
      <c r="M5" s="7">
        <f t="shared" si="2"/>
        <v>11226</v>
      </c>
      <c r="N5" s="6">
        <f t="shared" si="2"/>
        <v>10932</v>
      </c>
      <c r="O5" s="6">
        <f t="shared" si="2"/>
        <v>10680</v>
      </c>
      <c r="P5" s="6">
        <f t="shared" si="2"/>
        <v>10473</v>
      </c>
    </row>
    <row r="6" spans="1:16" s="2" customFormat="1" ht="12.75">
      <c r="A6" s="1"/>
      <c r="B6" s="5" t="s">
        <v>4</v>
      </c>
      <c r="C6" s="6">
        <f aca="true" t="shared" si="3" ref="C6:P6">SUM(C4:C5)</f>
        <v>27949</v>
      </c>
      <c r="D6" s="6">
        <f t="shared" si="3"/>
        <v>14965</v>
      </c>
      <c r="E6" s="6">
        <f t="shared" si="3"/>
        <v>14666</v>
      </c>
      <c r="F6" s="6">
        <f t="shared" si="3"/>
        <v>14368</v>
      </c>
      <c r="G6" s="6">
        <f t="shared" si="3"/>
        <v>14074</v>
      </c>
      <c r="H6" s="6">
        <f t="shared" si="3"/>
        <v>13778</v>
      </c>
      <c r="I6" s="6">
        <f t="shared" si="3"/>
        <v>13487</v>
      </c>
      <c r="J6" s="6">
        <f t="shared" si="3"/>
        <v>13208</v>
      </c>
      <c r="K6" s="6">
        <f t="shared" si="3"/>
        <v>12939</v>
      </c>
      <c r="L6" s="6">
        <f t="shared" si="3"/>
        <v>12680</v>
      </c>
      <c r="M6" s="7">
        <f t="shared" si="3"/>
        <v>12433</v>
      </c>
      <c r="N6" s="6">
        <f t="shared" si="3"/>
        <v>12231</v>
      </c>
      <c r="O6" s="6">
        <f t="shared" si="3"/>
        <v>12079</v>
      </c>
      <c r="P6" s="6">
        <f t="shared" si="3"/>
        <v>11980</v>
      </c>
    </row>
    <row r="7" spans="1:16" s="2" customFormat="1" ht="12.7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1:16" s="2" customFormat="1" ht="12.75">
      <c r="A8" s="1"/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1857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1:16" s="2" customFormat="1" ht="12.75">
      <c r="A9" s="1"/>
      <c r="B9" s="5" t="s">
        <v>6</v>
      </c>
      <c r="C9" s="6">
        <v>18000</v>
      </c>
      <c r="D9" s="6">
        <f>3000+3292</f>
        <v>6292</v>
      </c>
      <c r="E9" s="6">
        <v>6075</v>
      </c>
      <c r="F9" s="6">
        <v>5878</v>
      </c>
      <c r="G9" s="6">
        <v>5413</v>
      </c>
      <c r="H9" s="6">
        <v>4221</v>
      </c>
      <c r="I9" s="6">
        <v>3000</v>
      </c>
      <c r="J9" s="6">
        <v>2515</v>
      </c>
      <c r="K9" s="6">
        <v>0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1:16" s="2" customFormat="1" ht="12.75">
      <c r="A10" s="1"/>
      <c r="B10" s="5" t="s">
        <v>7</v>
      </c>
      <c r="C10" s="6">
        <v>1374</v>
      </c>
      <c r="D10" s="6">
        <f aca="true" t="shared" si="4" ref="D10:J11">C10*1.188</f>
        <v>1632.312</v>
      </c>
      <c r="E10" s="6">
        <f t="shared" si="4"/>
        <v>1939.1866559999999</v>
      </c>
      <c r="F10" s="6">
        <f t="shared" si="4"/>
        <v>2303.753747328</v>
      </c>
      <c r="G10" s="6">
        <f t="shared" si="4"/>
        <v>2736.8594518256637</v>
      </c>
      <c r="H10" s="6">
        <f t="shared" si="4"/>
        <v>3251.3890287688882</v>
      </c>
      <c r="I10" s="6">
        <f t="shared" si="4"/>
        <v>3862.650166177439</v>
      </c>
      <c r="J10" s="6">
        <f t="shared" si="4"/>
        <v>4588.828397418797</v>
      </c>
      <c r="K10" s="6">
        <v>5170</v>
      </c>
      <c r="L10" s="6">
        <v>2811</v>
      </c>
      <c r="M10" s="7">
        <v>0</v>
      </c>
      <c r="N10" s="6">
        <v>0</v>
      </c>
      <c r="O10" s="6">
        <v>0</v>
      </c>
      <c r="P10" s="6">
        <v>0</v>
      </c>
    </row>
    <row r="11" spans="1:16" s="2" customFormat="1" ht="12.75">
      <c r="A11" s="1"/>
      <c r="B11" s="5" t="s">
        <v>8</v>
      </c>
      <c r="C11" s="6">
        <v>871</v>
      </c>
      <c r="D11" s="6">
        <f t="shared" si="4"/>
        <v>1034.748</v>
      </c>
      <c r="E11" s="6">
        <f t="shared" si="4"/>
        <v>1229.280624</v>
      </c>
      <c r="F11" s="6">
        <f t="shared" si="4"/>
        <v>1460.385381312</v>
      </c>
      <c r="G11" s="6">
        <f t="shared" si="4"/>
        <v>1734.937832998656</v>
      </c>
      <c r="H11" s="6">
        <f t="shared" si="4"/>
        <v>2061.106145602403</v>
      </c>
      <c r="I11" s="6">
        <f t="shared" si="4"/>
        <v>2448.594100975655</v>
      </c>
      <c r="J11" s="6">
        <f t="shared" si="4"/>
        <v>2908.9297919590776</v>
      </c>
      <c r="K11" s="6">
        <f>J11*1.188</f>
        <v>3455.8085928473843</v>
      </c>
      <c r="L11" s="6">
        <f>K11*1.188</f>
        <v>4105.500608302692</v>
      </c>
      <c r="M11" s="7">
        <v>4552</v>
      </c>
      <c r="N11" s="6">
        <f>4552-3004</f>
        <v>1548</v>
      </c>
      <c r="O11" s="6">
        <v>0</v>
      </c>
      <c r="P11" s="6">
        <v>0</v>
      </c>
    </row>
    <row r="12" spans="1:16" s="2" customFormat="1" ht="12.75">
      <c r="A12" s="1"/>
      <c r="B12" s="5" t="s">
        <v>9</v>
      </c>
      <c r="C12" s="6">
        <v>2500</v>
      </c>
      <c r="D12" s="6">
        <f>C12+D33-D43</f>
        <v>1111.9399999999996</v>
      </c>
      <c r="E12" s="6">
        <f>D12+E33-E43</f>
        <v>903.5327199999997</v>
      </c>
      <c r="F12" s="6">
        <f>E12+F33-F43</f>
        <v>927.8608713599997</v>
      </c>
      <c r="G12" s="6">
        <f>F12+G33-G43</f>
        <v>1207.2027151756802</v>
      </c>
      <c r="H12" s="6">
        <f>G12+H33-H43</f>
        <v>1662.5048256287087</v>
      </c>
      <c r="I12" s="6">
        <f aca="true" t="shared" si="5" ref="I12:P12">H12+I33-I43</f>
        <v>2318.755732846906</v>
      </c>
      <c r="J12" s="6">
        <f t="shared" si="5"/>
        <v>3195.241810622125</v>
      </c>
      <c r="K12" s="6">
        <f t="shared" si="5"/>
        <v>4313.191407152615</v>
      </c>
      <c r="L12" s="6">
        <f t="shared" si="5"/>
        <v>5763.499391697307</v>
      </c>
      <c r="M12" s="7">
        <f t="shared" si="5"/>
        <v>7880.999999999999</v>
      </c>
      <c r="N12" s="6">
        <f t="shared" si="5"/>
        <v>10682.999999999998</v>
      </c>
      <c r="O12" s="6">
        <f t="shared" si="5"/>
        <v>12078.999999999998</v>
      </c>
      <c r="P12" s="6">
        <f t="shared" si="5"/>
        <v>11979.999999999996</v>
      </c>
    </row>
    <row r="13" spans="1:16" s="10" customFormat="1" ht="12.75">
      <c r="A13" s="1"/>
      <c r="B13" s="8" t="s">
        <v>10</v>
      </c>
      <c r="C13" s="9">
        <f aca="true" t="shared" si="6" ref="C13:P13">SUM(C8:C12)</f>
        <v>27949</v>
      </c>
      <c r="D13" s="9">
        <f t="shared" si="6"/>
        <v>14965</v>
      </c>
      <c r="E13" s="9">
        <f t="shared" si="6"/>
        <v>14666</v>
      </c>
      <c r="F13" s="9">
        <f t="shared" si="6"/>
        <v>14368</v>
      </c>
      <c r="G13" s="9">
        <f t="shared" si="6"/>
        <v>14074</v>
      </c>
      <c r="H13" s="9">
        <f t="shared" si="6"/>
        <v>13778</v>
      </c>
      <c r="I13" s="9">
        <f t="shared" si="6"/>
        <v>13487</v>
      </c>
      <c r="J13" s="9">
        <f t="shared" si="6"/>
        <v>13208</v>
      </c>
      <c r="K13" s="9">
        <f t="shared" si="6"/>
        <v>12939</v>
      </c>
      <c r="L13" s="9">
        <f t="shared" si="6"/>
        <v>12680</v>
      </c>
      <c r="M13" s="9">
        <f t="shared" si="6"/>
        <v>12433</v>
      </c>
      <c r="N13" s="9">
        <f t="shared" si="6"/>
        <v>12230.999999999998</v>
      </c>
      <c r="O13" s="9">
        <f t="shared" si="6"/>
        <v>12078.999999999998</v>
      </c>
      <c r="P13" s="9">
        <f t="shared" si="6"/>
        <v>11979.999999999996</v>
      </c>
    </row>
    <row r="14" spans="2:16" s="1" customFormat="1" ht="12.75"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3" s="2" customFormat="1" ht="12.75">
      <c r="A15" s="1"/>
      <c r="C15" s="12"/>
      <c r="D15" s="2">
        <v>1989</v>
      </c>
      <c r="E15" s="12"/>
      <c r="F15" s="12"/>
      <c r="G15" s="12"/>
      <c r="M15" s="1"/>
    </row>
    <row r="16" spans="1:13" s="2" customFormat="1" ht="12.75">
      <c r="A16" s="1"/>
      <c r="B16" s="2" t="s">
        <v>11</v>
      </c>
      <c r="C16" s="12"/>
      <c r="D16" s="12">
        <v>12680</v>
      </c>
      <c r="E16" s="12"/>
      <c r="F16" s="6"/>
      <c r="G16" s="6"/>
      <c r="M16" s="1"/>
    </row>
    <row r="17" spans="1:13" s="2" customFormat="1" ht="12.75">
      <c r="A17" s="1"/>
      <c r="B17" s="5" t="s">
        <v>12</v>
      </c>
      <c r="C17" s="6"/>
      <c r="D17" s="6">
        <v>12680</v>
      </c>
      <c r="E17" s="6"/>
      <c r="F17" s="12"/>
      <c r="G17" s="6"/>
      <c r="M17" s="1"/>
    </row>
    <row r="18" spans="1:13" s="2" customFormat="1" ht="12.75">
      <c r="A18" s="1"/>
      <c r="B18" s="5" t="s">
        <v>13</v>
      </c>
      <c r="C18" s="6"/>
      <c r="D18" s="6">
        <f>INT((D16-D17)*0.34)</f>
        <v>0</v>
      </c>
      <c r="E18" s="6"/>
      <c r="F18" s="12"/>
      <c r="G18" s="12"/>
      <c r="M18" s="1"/>
    </row>
    <row r="19" spans="1:13" s="2" customFormat="1" ht="12.75">
      <c r="A19" s="1"/>
      <c r="B19" s="5" t="s">
        <v>14</v>
      </c>
      <c r="C19" s="6"/>
      <c r="D19" s="6">
        <f>D16-D18</f>
        <v>12680</v>
      </c>
      <c r="E19" s="6"/>
      <c r="F19" s="12"/>
      <c r="G19" s="6"/>
      <c r="M19" s="1"/>
    </row>
    <row r="20" spans="1:13" s="2" customFormat="1" ht="12.75">
      <c r="A20" s="1"/>
      <c r="B20" s="2" t="s">
        <v>15</v>
      </c>
      <c r="C20" s="12"/>
      <c r="D20" s="12">
        <f>D16-D17-D18</f>
        <v>0</v>
      </c>
      <c r="E20" s="12"/>
      <c r="F20" s="12"/>
      <c r="G20" s="12"/>
      <c r="H20" s="12"/>
      <c r="M20" s="1"/>
    </row>
    <row r="21" spans="1:13" s="2" customFormat="1" ht="12.75">
      <c r="A21" s="1"/>
      <c r="C21" s="12"/>
      <c r="D21" s="12"/>
      <c r="E21" s="12"/>
      <c r="F21" s="12"/>
      <c r="G21" s="12"/>
      <c r="M21" s="1"/>
    </row>
    <row r="22" spans="1:16" s="2" customFormat="1" ht="12" customHeight="1">
      <c r="A22" s="1"/>
      <c r="B22" s="2" t="s">
        <v>16</v>
      </c>
      <c r="G22" s="5"/>
      <c r="H22" s="5"/>
      <c r="I22" s="5"/>
      <c r="J22" s="5"/>
      <c r="K22" s="5"/>
      <c r="L22" s="5"/>
      <c r="M22" s="11"/>
      <c r="N22" s="5"/>
      <c r="O22" s="5"/>
      <c r="P22" s="5"/>
    </row>
    <row r="23" spans="1:16" s="2" customFormat="1" ht="12" customHeight="1">
      <c r="A23" s="1"/>
      <c r="G23" s="5"/>
      <c r="H23" s="5"/>
      <c r="I23" s="5"/>
      <c r="J23" s="5"/>
      <c r="K23" s="5"/>
      <c r="L23" s="5"/>
      <c r="M23" s="11"/>
      <c r="N23" s="5"/>
      <c r="O23" s="5"/>
      <c r="P23" s="5"/>
    </row>
    <row r="24" spans="1:16" s="2" customFormat="1" ht="12.75">
      <c r="A24" s="1"/>
      <c r="B24" s="4" t="s">
        <v>1</v>
      </c>
      <c r="C24" s="2">
        <v>1988</v>
      </c>
      <c r="D24" s="2">
        <f aca="true" t="shared" si="7" ref="D24:P24">C24+1</f>
        <v>1989</v>
      </c>
      <c r="E24" s="2">
        <f t="shared" si="7"/>
        <v>1990</v>
      </c>
      <c r="F24" s="2">
        <f t="shared" si="7"/>
        <v>1991</v>
      </c>
      <c r="G24" s="2">
        <f t="shared" si="7"/>
        <v>1992</v>
      </c>
      <c r="H24" s="2">
        <f t="shared" si="7"/>
        <v>1993</v>
      </c>
      <c r="I24" s="2">
        <f t="shared" si="7"/>
        <v>1994</v>
      </c>
      <c r="J24" s="2">
        <f t="shared" si="7"/>
        <v>1995</v>
      </c>
      <c r="K24" s="2">
        <f t="shared" si="7"/>
        <v>1996</v>
      </c>
      <c r="L24" s="2">
        <f t="shared" si="7"/>
        <v>1997</v>
      </c>
      <c r="M24" s="1">
        <f t="shared" si="7"/>
        <v>1998</v>
      </c>
      <c r="N24" s="2">
        <f t="shared" si="7"/>
        <v>1999</v>
      </c>
      <c r="O24" s="2">
        <f t="shared" si="7"/>
        <v>2000</v>
      </c>
      <c r="P24" s="2">
        <f t="shared" si="7"/>
        <v>2001</v>
      </c>
    </row>
    <row r="25" spans="1:16" ht="10.5" customHeight="1">
      <c r="A25" s="11">
        <v>1</v>
      </c>
      <c r="B25" s="2" t="s">
        <v>17</v>
      </c>
      <c r="C25" s="6">
        <v>16950</v>
      </c>
      <c r="D25" s="6">
        <v>7650</v>
      </c>
      <c r="E25" s="6">
        <v>8293</v>
      </c>
      <c r="F25" s="6">
        <v>8983</v>
      </c>
      <c r="G25" s="6">
        <v>9731</v>
      </c>
      <c r="H25" s="6">
        <v>10540</v>
      </c>
      <c r="I25" s="6">
        <v>11418</v>
      </c>
      <c r="J25" s="6">
        <v>12368</v>
      </c>
      <c r="K25" s="6">
        <v>13397</v>
      </c>
      <c r="L25" s="6">
        <v>14514</v>
      </c>
      <c r="M25" s="7">
        <v>15723</v>
      </c>
      <c r="N25" s="6">
        <f>M25*1.083</f>
        <v>17028.009</v>
      </c>
      <c r="O25" s="6">
        <f>N25*1.083</f>
        <v>18441.333746999997</v>
      </c>
      <c r="P25" s="6">
        <f>O25*1.083</f>
        <v>19971.964448000996</v>
      </c>
    </row>
    <row r="26" spans="1:16" s="8" customFormat="1" ht="10.5" customHeight="1">
      <c r="A26" s="11">
        <v>2</v>
      </c>
      <c r="B26" s="11" t="s">
        <v>18</v>
      </c>
      <c r="C26" s="7">
        <v>2653</v>
      </c>
      <c r="D26" s="7">
        <v>1917</v>
      </c>
      <c r="E26" s="7">
        <v>2385</v>
      </c>
      <c r="F26" s="7">
        <v>2814</v>
      </c>
      <c r="G26" s="7">
        <v>3266</v>
      </c>
      <c r="H26" s="7">
        <v>3589</v>
      </c>
      <c r="I26" s="7">
        <v>3945</v>
      </c>
      <c r="J26" s="7">
        <v>4337</v>
      </c>
      <c r="K26" s="7">
        <v>4768</v>
      </c>
      <c r="L26" s="7">
        <v>5243</v>
      </c>
      <c r="M26" s="7">
        <v>5766</v>
      </c>
      <c r="N26" s="7">
        <f>N25*0.36</f>
        <v>6130.083239999999</v>
      </c>
      <c r="O26" s="7">
        <f>O25*0.36</f>
        <v>6638.880148919999</v>
      </c>
      <c r="P26" s="7">
        <f>P25*0.36</f>
        <v>7189.907201280358</v>
      </c>
    </row>
    <row r="27" spans="1:16" ht="12.75">
      <c r="A27" s="11">
        <v>3</v>
      </c>
      <c r="B27" s="5" t="s">
        <v>19</v>
      </c>
      <c r="C27" s="5">
        <v>551</v>
      </c>
      <c r="D27" s="6">
        <v>2792</v>
      </c>
      <c r="E27" s="6">
        <v>1353</v>
      </c>
      <c r="F27" s="6">
        <v>1286</v>
      </c>
      <c r="G27" s="6">
        <v>1183</v>
      </c>
      <c r="H27" s="6">
        <v>1037</v>
      </c>
      <c r="I27" s="5">
        <v>850</v>
      </c>
      <c r="J27" s="5">
        <v>624</v>
      </c>
      <c r="K27" s="5">
        <v>351</v>
      </c>
      <c r="L27" s="5">
        <v>0</v>
      </c>
      <c r="M27" s="11">
        <v>0</v>
      </c>
      <c r="N27" s="5">
        <v>0</v>
      </c>
      <c r="O27" s="5">
        <v>0</v>
      </c>
      <c r="P27" s="5">
        <v>0</v>
      </c>
    </row>
    <row r="28" spans="1:16" ht="12.75">
      <c r="A28" s="11">
        <v>4</v>
      </c>
      <c r="B28" s="5" t="s">
        <v>20</v>
      </c>
      <c r="C28" s="6">
        <f aca="true" t="shared" si="8" ref="C28:P28">(C26-C27)*0.34</f>
        <v>714.6800000000001</v>
      </c>
      <c r="D28" s="6">
        <f t="shared" si="8"/>
        <v>-297.5</v>
      </c>
      <c r="E28" s="6">
        <f t="shared" si="8"/>
        <v>350.88000000000005</v>
      </c>
      <c r="F28" s="6">
        <f t="shared" si="8"/>
        <v>519.52</v>
      </c>
      <c r="G28" s="6">
        <f t="shared" si="8"/>
        <v>708.22</v>
      </c>
      <c r="H28" s="6">
        <f t="shared" si="8"/>
        <v>867.6800000000001</v>
      </c>
      <c r="I28" s="6">
        <f t="shared" si="8"/>
        <v>1052.3000000000002</v>
      </c>
      <c r="J28" s="6">
        <f t="shared" si="8"/>
        <v>1262.42</v>
      </c>
      <c r="K28" s="6">
        <f t="shared" si="8"/>
        <v>1501.7800000000002</v>
      </c>
      <c r="L28" s="6">
        <f t="shared" si="8"/>
        <v>1782.6200000000001</v>
      </c>
      <c r="M28" s="7">
        <f t="shared" si="8"/>
        <v>1960.44</v>
      </c>
      <c r="N28" s="6">
        <f t="shared" si="8"/>
        <v>2084.2283015999997</v>
      </c>
      <c r="O28" s="6">
        <f t="shared" si="8"/>
        <v>2257.2192506327997</v>
      </c>
      <c r="P28" s="6">
        <f t="shared" si="8"/>
        <v>2444.568448435322</v>
      </c>
    </row>
    <row r="29" spans="1:16" ht="12.75">
      <c r="A29" s="11">
        <v>5</v>
      </c>
      <c r="B29" s="5" t="s">
        <v>21</v>
      </c>
      <c r="C29" s="6"/>
      <c r="D29" s="6">
        <v>388</v>
      </c>
      <c r="E29" s="6">
        <v>388</v>
      </c>
      <c r="F29" s="6">
        <v>388</v>
      </c>
      <c r="G29" s="6">
        <v>388</v>
      </c>
      <c r="H29" s="6">
        <v>388</v>
      </c>
      <c r="I29" s="6">
        <v>388</v>
      </c>
      <c r="J29" s="6">
        <v>388</v>
      </c>
      <c r="K29" s="6">
        <v>388</v>
      </c>
      <c r="L29" s="6">
        <v>388</v>
      </c>
      <c r="M29" s="7">
        <v>388</v>
      </c>
      <c r="N29" s="6">
        <v>388</v>
      </c>
      <c r="O29" s="6">
        <v>388</v>
      </c>
      <c r="P29" s="6">
        <v>388</v>
      </c>
    </row>
    <row r="30" spans="1:16" s="8" customFormat="1" ht="12.75">
      <c r="A30" s="11">
        <v>6</v>
      </c>
      <c r="B30" s="10" t="s">
        <v>22</v>
      </c>
      <c r="C30" s="13">
        <v>1360</v>
      </c>
      <c r="D30" s="13">
        <f>INT(D26-D27-D28-D29)</f>
        <v>-966</v>
      </c>
      <c r="E30" s="13">
        <f aca="true" t="shared" si="9" ref="E30:P30">E26-E27-E28-E29</f>
        <v>293.1199999999999</v>
      </c>
      <c r="F30" s="13">
        <f t="shared" si="9"/>
        <v>620.48</v>
      </c>
      <c r="G30" s="13">
        <f t="shared" si="9"/>
        <v>986.78</v>
      </c>
      <c r="H30" s="13">
        <f t="shared" si="9"/>
        <v>1296.32</v>
      </c>
      <c r="I30" s="13">
        <f t="shared" si="9"/>
        <v>1654.6999999999998</v>
      </c>
      <c r="J30" s="13">
        <f t="shared" si="9"/>
        <v>2062.58</v>
      </c>
      <c r="K30" s="13">
        <f t="shared" si="9"/>
        <v>2527.22</v>
      </c>
      <c r="L30" s="13">
        <f t="shared" si="9"/>
        <v>3072.38</v>
      </c>
      <c r="M30" s="13">
        <f t="shared" si="9"/>
        <v>3417.56</v>
      </c>
      <c r="N30" s="13">
        <f t="shared" si="9"/>
        <v>3657.8549383999994</v>
      </c>
      <c r="O30" s="13">
        <f t="shared" si="9"/>
        <v>3993.6608982871985</v>
      </c>
      <c r="P30" s="13">
        <f t="shared" si="9"/>
        <v>4357.338752845037</v>
      </c>
    </row>
    <row r="31" spans="1:16" ht="12.75">
      <c r="A31" s="11">
        <v>7</v>
      </c>
      <c r="B31" s="11" t="s">
        <v>23</v>
      </c>
      <c r="C31" s="7"/>
      <c r="D31" s="7">
        <f aca="true" t="shared" si="10" ref="D31:I31">D11-C11+D10-C10</f>
        <v>422.05999999999995</v>
      </c>
      <c r="E31" s="7">
        <f t="shared" si="10"/>
        <v>501.4072799999999</v>
      </c>
      <c r="F31" s="7">
        <f t="shared" si="10"/>
        <v>595.67184864</v>
      </c>
      <c r="G31" s="7">
        <f t="shared" si="10"/>
        <v>707.6581561843195</v>
      </c>
      <c r="H31" s="7">
        <f t="shared" si="10"/>
        <v>840.6978895469715</v>
      </c>
      <c r="I31" s="7">
        <f t="shared" si="10"/>
        <v>998.7490927818026</v>
      </c>
      <c r="J31" s="7">
        <f aca="true" t="shared" si="11" ref="J31:P31">(I10+I11)*0.188</f>
        <v>1186.5139222247815</v>
      </c>
      <c r="K31" s="7">
        <f t="shared" si="11"/>
        <v>1409.5785396030406</v>
      </c>
      <c r="L31" s="7">
        <f t="shared" si="11"/>
        <v>1621.6520154553084</v>
      </c>
      <c r="M31" s="7">
        <f t="shared" si="11"/>
        <v>1300.302114360906</v>
      </c>
      <c r="N31" s="7">
        <f t="shared" si="11"/>
        <v>855.776</v>
      </c>
      <c r="O31" s="7">
        <f t="shared" si="11"/>
        <v>291.024</v>
      </c>
      <c r="P31" s="7">
        <f t="shared" si="11"/>
        <v>0</v>
      </c>
    </row>
    <row r="32" spans="1:16" ht="12.75">
      <c r="A32" s="11">
        <v>8</v>
      </c>
      <c r="B32" s="11" t="s">
        <v>24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12.75">
      <c r="A33" s="11">
        <f aca="true" t="shared" si="12" ref="A33:A48">A32+1</f>
        <v>9</v>
      </c>
      <c r="B33" s="8" t="s">
        <v>25</v>
      </c>
      <c r="C33" s="13"/>
      <c r="D33" s="13">
        <f>D30-D31+D32</f>
        <v>-1388.06</v>
      </c>
      <c r="E33" s="13">
        <f>E30-E31+E32</f>
        <v>-208.28728</v>
      </c>
      <c r="F33" s="13">
        <f aca="true" t="shared" si="13" ref="F33:P33">F30-F31</f>
        <v>24.80815136000001</v>
      </c>
      <c r="G33" s="13">
        <f t="shared" si="13"/>
        <v>279.12184381568045</v>
      </c>
      <c r="H33" s="13">
        <f t="shared" si="13"/>
        <v>455.6221104530284</v>
      </c>
      <c r="I33" s="13">
        <f t="shared" si="13"/>
        <v>655.9509072181972</v>
      </c>
      <c r="J33" s="13">
        <f t="shared" si="13"/>
        <v>876.0660777752184</v>
      </c>
      <c r="K33" s="13">
        <f t="shared" si="13"/>
        <v>1117.6414603969592</v>
      </c>
      <c r="L33" s="13">
        <f t="shared" si="13"/>
        <v>1450.7279845446917</v>
      </c>
      <c r="M33" s="13">
        <f t="shared" si="13"/>
        <v>2117.2578856390937</v>
      </c>
      <c r="N33" s="13">
        <f t="shared" si="13"/>
        <v>2802.0789383999995</v>
      </c>
      <c r="O33" s="13">
        <f t="shared" si="13"/>
        <v>3702.6368982871986</v>
      </c>
      <c r="P33" s="13">
        <f t="shared" si="13"/>
        <v>4357.338752845037</v>
      </c>
    </row>
    <row r="34" spans="1:16" ht="12.75">
      <c r="A34" s="11">
        <f t="shared" si="12"/>
        <v>10</v>
      </c>
      <c r="B34" s="5" t="s">
        <v>26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6"/>
    </row>
    <row r="35" spans="2:16" ht="12.75">
      <c r="B35" s="5" t="s">
        <v>27</v>
      </c>
      <c r="C35" s="5">
        <v>730</v>
      </c>
      <c r="D35" s="5">
        <v>777</v>
      </c>
      <c r="E35" s="5">
        <v>725</v>
      </c>
      <c r="F35" s="5">
        <v>726</v>
      </c>
      <c r="G35" s="5">
        <v>735</v>
      </c>
      <c r="H35" s="5">
        <v>749</v>
      </c>
      <c r="I35" s="5">
        <v>754</v>
      </c>
      <c r="J35" s="5">
        <v>758</v>
      </c>
      <c r="K35" s="5">
        <v>763</v>
      </c>
      <c r="L35" s="5">
        <v>769</v>
      </c>
      <c r="M35" s="11">
        <v>774</v>
      </c>
      <c r="N35" s="5">
        <v>774</v>
      </c>
      <c r="O35" s="5">
        <v>774</v>
      </c>
      <c r="P35" s="5">
        <v>774</v>
      </c>
    </row>
    <row r="36" spans="1:16" ht="12.75">
      <c r="A36" s="11">
        <v>11</v>
      </c>
      <c r="B36" s="5" t="s">
        <v>28</v>
      </c>
      <c r="C36" s="6">
        <v>1142</v>
      </c>
      <c r="D36" s="5">
        <v>432</v>
      </c>
      <c r="E36" s="5">
        <v>381</v>
      </c>
      <c r="F36" s="5">
        <v>380</v>
      </c>
      <c r="G36" s="5">
        <v>389</v>
      </c>
      <c r="H36" s="5">
        <v>396</v>
      </c>
      <c r="I36" s="5">
        <v>402</v>
      </c>
      <c r="J36" s="5">
        <v>412</v>
      </c>
      <c r="K36" s="5">
        <v>422</v>
      </c>
      <c r="L36" s="5">
        <v>432</v>
      </c>
      <c r="M36" s="11">
        <v>442</v>
      </c>
      <c r="N36" s="5">
        <f aca="true" t="shared" si="14" ref="N36:P37">INT(M36*1.088)</f>
        <v>480</v>
      </c>
      <c r="O36" s="5">
        <f t="shared" si="14"/>
        <v>522</v>
      </c>
      <c r="P36" s="5">
        <f t="shared" si="14"/>
        <v>567</v>
      </c>
    </row>
    <row r="37" spans="1:16" ht="12.75">
      <c r="A37" s="11">
        <f t="shared" si="12"/>
        <v>12</v>
      </c>
      <c r="B37" s="5" t="s">
        <v>29</v>
      </c>
      <c r="C37" s="6"/>
      <c r="D37" s="5">
        <v>41</v>
      </c>
      <c r="E37" s="5">
        <v>45</v>
      </c>
      <c r="F37" s="5">
        <v>48</v>
      </c>
      <c r="G37" s="5">
        <v>52</v>
      </c>
      <c r="H37" s="5">
        <v>57</v>
      </c>
      <c r="I37" s="5">
        <v>61</v>
      </c>
      <c r="J37" s="5">
        <v>67</v>
      </c>
      <c r="K37" s="5">
        <v>72</v>
      </c>
      <c r="L37" s="5">
        <v>78</v>
      </c>
      <c r="M37" s="11">
        <v>85</v>
      </c>
      <c r="N37" s="5">
        <f t="shared" si="14"/>
        <v>92</v>
      </c>
      <c r="O37" s="5">
        <f t="shared" si="14"/>
        <v>100</v>
      </c>
      <c r="P37" s="5">
        <f t="shared" si="14"/>
        <v>108</v>
      </c>
    </row>
    <row r="38" spans="1:16" ht="12.75">
      <c r="A38" s="11">
        <f t="shared" si="12"/>
        <v>13</v>
      </c>
      <c r="B38" s="5" t="s">
        <v>30</v>
      </c>
      <c r="C38" s="6"/>
      <c r="D38" s="6">
        <f>D17</f>
        <v>12680</v>
      </c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</row>
    <row r="39" spans="1:16" ht="12.75">
      <c r="A39" s="11">
        <f t="shared" si="12"/>
        <v>14</v>
      </c>
      <c r="B39" s="5" t="s">
        <v>31</v>
      </c>
      <c r="C39" s="6"/>
      <c r="D39" s="6">
        <f aca="true" t="shared" si="15" ref="D39:P39">D8+D9-C8-C9</f>
        <v>-12018</v>
      </c>
      <c r="E39" s="6">
        <f t="shared" si="15"/>
        <v>-592</v>
      </c>
      <c r="F39" s="6">
        <f t="shared" si="15"/>
        <v>-918</v>
      </c>
      <c r="G39" s="6">
        <f t="shared" si="15"/>
        <v>-1281</v>
      </c>
      <c r="H39" s="6">
        <f t="shared" si="15"/>
        <v>-1592</v>
      </c>
      <c r="I39" s="6">
        <f t="shared" si="15"/>
        <v>-1946</v>
      </c>
      <c r="J39" s="6">
        <f t="shared" si="15"/>
        <v>-2342</v>
      </c>
      <c r="K39" s="6">
        <f t="shared" si="15"/>
        <v>-2515</v>
      </c>
      <c r="L39" s="6">
        <f t="shared" si="15"/>
        <v>0</v>
      </c>
      <c r="M39" s="7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</row>
    <row r="40" spans="1:16" ht="12.75">
      <c r="A40" s="11">
        <f t="shared" si="12"/>
        <v>15</v>
      </c>
      <c r="B40" s="11" t="s">
        <v>32</v>
      </c>
      <c r="C40" s="6"/>
      <c r="D40" s="6">
        <f aca="true" t="shared" si="16" ref="D40:P40">D31</f>
        <v>422.05999999999995</v>
      </c>
      <c r="E40" s="6">
        <f t="shared" si="16"/>
        <v>501.4072799999999</v>
      </c>
      <c r="F40" s="6">
        <f t="shared" si="16"/>
        <v>595.67184864</v>
      </c>
      <c r="G40" s="6">
        <f t="shared" si="16"/>
        <v>707.6581561843195</v>
      </c>
      <c r="H40" s="6">
        <f t="shared" si="16"/>
        <v>840.6978895469715</v>
      </c>
      <c r="I40" s="6">
        <f t="shared" si="16"/>
        <v>998.7490927818026</v>
      </c>
      <c r="J40" s="6">
        <f t="shared" si="16"/>
        <v>1186.5139222247815</v>
      </c>
      <c r="K40" s="6">
        <f t="shared" si="16"/>
        <v>1409.5785396030406</v>
      </c>
      <c r="L40" s="6">
        <f t="shared" si="16"/>
        <v>1621.6520154553084</v>
      </c>
      <c r="M40" s="7">
        <f t="shared" si="16"/>
        <v>1300.302114360906</v>
      </c>
      <c r="N40" s="6">
        <f t="shared" si="16"/>
        <v>855.776</v>
      </c>
      <c r="O40" s="6">
        <f t="shared" si="16"/>
        <v>291.024</v>
      </c>
      <c r="P40" s="6">
        <f t="shared" si="16"/>
        <v>0</v>
      </c>
    </row>
    <row r="41" spans="1:16" ht="12.75">
      <c r="A41" s="11">
        <f t="shared" si="12"/>
        <v>16</v>
      </c>
      <c r="B41" s="5" t="s">
        <v>33</v>
      </c>
      <c r="C41" s="6"/>
      <c r="D41" s="6"/>
      <c r="E41" s="6"/>
      <c r="F41" s="6"/>
      <c r="G41" s="6"/>
      <c r="H41" s="6"/>
      <c r="I41" s="6"/>
      <c r="J41" s="6"/>
      <c r="K41" s="6">
        <f aca="true" t="shared" si="17" ref="K41:P41">K10-J10*1.188</f>
        <v>-281.528136133531</v>
      </c>
      <c r="L41" s="6">
        <f t="shared" si="17"/>
        <v>-3330.96</v>
      </c>
      <c r="M41" s="7">
        <f t="shared" si="17"/>
        <v>-3339.468</v>
      </c>
      <c r="N41" s="6">
        <f t="shared" si="17"/>
        <v>0</v>
      </c>
      <c r="O41" s="6">
        <f t="shared" si="17"/>
        <v>0</v>
      </c>
      <c r="P41" s="6">
        <f t="shared" si="17"/>
        <v>0</v>
      </c>
    </row>
    <row r="42" spans="1:16" ht="12.75">
      <c r="A42" s="11">
        <f t="shared" si="12"/>
        <v>17</v>
      </c>
      <c r="B42" s="5" t="s">
        <v>34</v>
      </c>
      <c r="C42" s="6"/>
      <c r="D42" s="6"/>
      <c r="E42" s="6"/>
      <c r="F42" s="6"/>
      <c r="G42" s="6"/>
      <c r="H42" s="6"/>
      <c r="I42" s="6"/>
      <c r="J42" s="6"/>
      <c r="K42" s="6"/>
      <c r="L42" s="6">
        <f>L11-K11*1.188</f>
        <v>0</v>
      </c>
      <c r="M42" s="7">
        <f>M11-L11*1.188</f>
        <v>-325.33472266359786</v>
      </c>
      <c r="N42" s="6">
        <f>N11-M11*1.188</f>
        <v>-3859.776</v>
      </c>
      <c r="O42" s="6">
        <f>O11-N11*1.188</f>
        <v>-1839.024</v>
      </c>
      <c r="P42" s="6">
        <f>P11-O11*1.188</f>
        <v>0</v>
      </c>
    </row>
    <row r="43" spans="1:16" s="10" customFormat="1" ht="12.75">
      <c r="A43" s="11">
        <f t="shared" si="12"/>
        <v>18</v>
      </c>
      <c r="B43" s="10" t="s">
        <v>35</v>
      </c>
      <c r="C43" s="13"/>
      <c r="D43" s="13">
        <f aca="true" t="shared" si="18" ref="D43:P43">D33+D35-D36-D37+D38+D39+D40+D41+D42</f>
        <v>4.547473508864641E-13</v>
      </c>
      <c r="E43" s="13">
        <f t="shared" si="18"/>
        <v>0.11999999999989086</v>
      </c>
      <c r="F43" s="13">
        <f t="shared" si="18"/>
        <v>0.4800000000000182</v>
      </c>
      <c r="G43" s="13">
        <f t="shared" si="18"/>
        <v>-0.22000000000002728</v>
      </c>
      <c r="H43" s="13">
        <f t="shared" si="18"/>
        <v>0.31999999999993634</v>
      </c>
      <c r="I43" s="13">
        <f t="shared" si="18"/>
        <v>-0.3000000000001819</v>
      </c>
      <c r="J43" s="13">
        <f t="shared" si="18"/>
        <v>-0.42000000000007276</v>
      </c>
      <c r="K43" s="13">
        <f t="shared" si="18"/>
        <v>-0.3081361335312067</v>
      </c>
      <c r="L43" s="13">
        <f t="shared" si="18"/>
        <v>0.42000000000007276</v>
      </c>
      <c r="M43" s="13">
        <f t="shared" si="18"/>
        <v>-0.24272266359821515</v>
      </c>
      <c r="N43" s="13">
        <f t="shared" si="18"/>
        <v>0.07893839999951524</v>
      </c>
      <c r="O43" s="13">
        <f t="shared" si="18"/>
        <v>2306.6368982871995</v>
      </c>
      <c r="P43" s="13">
        <f t="shared" si="18"/>
        <v>4456.338752845037</v>
      </c>
    </row>
    <row r="44" spans="1:16" ht="12.75">
      <c r="A44" s="11">
        <f t="shared" si="12"/>
        <v>19</v>
      </c>
      <c r="B44" s="5" t="s">
        <v>36</v>
      </c>
      <c r="C44" s="6"/>
      <c r="D44" s="6">
        <f aca="true" t="shared" si="19" ref="D44:P44">0.66*(D27)</f>
        <v>1842.72</v>
      </c>
      <c r="E44" s="6">
        <f t="shared" si="19"/>
        <v>892.98</v>
      </c>
      <c r="F44" s="6">
        <f t="shared" si="19"/>
        <v>848.76</v>
      </c>
      <c r="G44" s="6">
        <f t="shared" si="19"/>
        <v>780.7800000000001</v>
      </c>
      <c r="H44" s="6">
        <f t="shared" si="19"/>
        <v>684.4200000000001</v>
      </c>
      <c r="I44" s="6">
        <f t="shared" si="19"/>
        <v>561</v>
      </c>
      <c r="J44" s="6">
        <f t="shared" si="19"/>
        <v>411.84000000000003</v>
      </c>
      <c r="K44" s="6">
        <f t="shared" si="19"/>
        <v>231.66000000000003</v>
      </c>
      <c r="L44" s="6">
        <f t="shared" si="19"/>
        <v>0</v>
      </c>
      <c r="M44" s="7">
        <f t="shared" si="19"/>
        <v>0</v>
      </c>
      <c r="N44" s="6">
        <f t="shared" si="19"/>
        <v>0</v>
      </c>
      <c r="O44" s="6">
        <f t="shared" si="19"/>
        <v>0</v>
      </c>
      <c r="P44" s="6">
        <f t="shared" si="19"/>
        <v>0</v>
      </c>
    </row>
    <row r="45" spans="1:16" ht="12.75">
      <c r="A45" s="11">
        <f t="shared" si="12"/>
        <v>20</v>
      </c>
      <c r="B45" s="11" t="s">
        <v>37</v>
      </c>
      <c r="C45" s="7"/>
      <c r="D45" s="7">
        <f aca="true" t="shared" si="20" ref="D45:L45">-D39</f>
        <v>12018</v>
      </c>
      <c r="E45" s="7">
        <f t="shared" si="20"/>
        <v>592</v>
      </c>
      <c r="F45" s="7">
        <f t="shared" si="20"/>
        <v>918</v>
      </c>
      <c r="G45" s="7">
        <f t="shared" si="20"/>
        <v>1281</v>
      </c>
      <c r="H45" s="7">
        <f t="shared" si="20"/>
        <v>1592</v>
      </c>
      <c r="I45" s="7">
        <f t="shared" si="20"/>
        <v>1946</v>
      </c>
      <c r="J45" s="7">
        <f t="shared" si="20"/>
        <v>2342</v>
      </c>
      <c r="K45" s="7">
        <f t="shared" si="20"/>
        <v>2515</v>
      </c>
      <c r="L45" s="7">
        <f t="shared" si="20"/>
        <v>0</v>
      </c>
      <c r="M45" s="7"/>
      <c r="N45" s="7"/>
      <c r="O45" s="7"/>
      <c r="P45" s="7"/>
    </row>
    <row r="46" spans="1:16" ht="12.75">
      <c r="A46" s="11">
        <f t="shared" si="12"/>
        <v>21</v>
      </c>
      <c r="B46" s="5" t="s">
        <v>38</v>
      </c>
      <c r="C46" s="7"/>
      <c r="D46" s="7"/>
      <c r="E46" s="7"/>
      <c r="F46" s="7"/>
      <c r="G46" s="7"/>
      <c r="H46" s="7"/>
      <c r="I46" s="7"/>
      <c r="J46" s="7"/>
      <c r="K46" s="7">
        <f aca="true" t="shared" si="21" ref="K46:P46">-K41</f>
        <v>281.528136133531</v>
      </c>
      <c r="L46" s="7">
        <f t="shared" si="21"/>
        <v>3330.96</v>
      </c>
      <c r="M46" s="7">
        <f t="shared" si="21"/>
        <v>3339.468</v>
      </c>
      <c r="N46" s="7">
        <f t="shared" si="21"/>
        <v>0</v>
      </c>
      <c r="O46" s="7">
        <f t="shared" si="21"/>
        <v>0</v>
      </c>
      <c r="P46" s="7">
        <f t="shared" si="21"/>
        <v>0</v>
      </c>
    </row>
    <row r="47" spans="1:16" ht="12.75">
      <c r="A47" s="11">
        <f t="shared" si="12"/>
        <v>22</v>
      </c>
      <c r="B47" s="5" t="s">
        <v>39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f>-M42</f>
        <v>325.33472266359786</v>
      </c>
      <c r="N47" s="7">
        <f>-N42</f>
        <v>3859.776</v>
      </c>
      <c r="O47" s="7">
        <f>-O42</f>
        <v>1839.024</v>
      </c>
      <c r="P47" s="7">
        <f>-P42</f>
        <v>0</v>
      </c>
    </row>
    <row r="48" spans="1:16" s="10" customFormat="1" ht="12.75">
      <c r="A48" s="11">
        <f t="shared" si="12"/>
        <v>23</v>
      </c>
      <c r="B48" s="10" t="s">
        <v>40</v>
      </c>
      <c r="C48" s="13"/>
      <c r="D48" s="13">
        <f aca="true" t="shared" si="22" ref="D48:P48">D43+D44+D45+D46+D47</f>
        <v>13860.720000000001</v>
      </c>
      <c r="E48" s="13">
        <f t="shared" si="22"/>
        <v>1485.1</v>
      </c>
      <c r="F48" s="13">
        <f t="shared" si="22"/>
        <v>1767.24</v>
      </c>
      <c r="G48" s="13">
        <f t="shared" si="22"/>
        <v>2061.56</v>
      </c>
      <c r="H48" s="13">
        <f t="shared" si="22"/>
        <v>2276.74</v>
      </c>
      <c r="I48" s="13">
        <f t="shared" si="22"/>
        <v>2506.7</v>
      </c>
      <c r="J48" s="13">
        <f t="shared" si="22"/>
        <v>2753.42</v>
      </c>
      <c r="K48" s="13">
        <f t="shared" si="22"/>
        <v>3027.8799999999997</v>
      </c>
      <c r="L48" s="13">
        <f t="shared" si="22"/>
        <v>3331.38</v>
      </c>
      <c r="M48" s="13">
        <f t="shared" si="22"/>
        <v>3664.5599999999995</v>
      </c>
      <c r="N48" s="13">
        <f t="shared" si="22"/>
        <v>3859.8549383999994</v>
      </c>
      <c r="O48" s="13">
        <f t="shared" si="22"/>
        <v>4145.660898287199</v>
      </c>
      <c r="P48" s="13">
        <f t="shared" si="22"/>
        <v>4456.338752845037</v>
      </c>
    </row>
    <row r="49" spans="2:13" ht="13.5" thickBot="1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6" ht="12.75">
      <c r="A50" s="31"/>
      <c r="B50" s="18" t="s">
        <v>41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4"/>
    </row>
    <row r="51" spans="1:16" s="2" customFormat="1" ht="11.25" customHeight="1">
      <c r="A51" s="35"/>
      <c r="B51" s="36" t="s">
        <v>1</v>
      </c>
      <c r="C51" s="1">
        <v>1988</v>
      </c>
      <c r="D51" s="1">
        <f aca="true" t="shared" si="23" ref="D51:P51">C51+1</f>
        <v>1989</v>
      </c>
      <c r="E51" s="1">
        <f t="shared" si="23"/>
        <v>1990</v>
      </c>
      <c r="F51" s="1">
        <f t="shared" si="23"/>
        <v>1991</v>
      </c>
      <c r="G51" s="1">
        <f t="shared" si="23"/>
        <v>1992</v>
      </c>
      <c r="H51" s="1">
        <f t="shared" si="23"/>
        <v>1993</v>
      </c>
      <c r="I51" s="1">
        <f t="shared" si="23"/>
        <v>1994</v>
      </c>
      <c r="J51" s="1">
        <f t="shared" si="23"/>
        <v>1995</v>
      </c>
      <c r="K51" s="1">
        <f t="shared" si="23"/>
        <v>1996</v>
      </c>
      <c r="L51" s="1">
        <f t="shared" si="23"/>
        <v>1997</v>
      </c>
      <c r="M51" s="1">
        <f t="shared" si="23"/>
        <v>1998</v>
      </c>
      <c r="N51" s="1">
        <f t="shared" si="23"/>
        <v>1999</v>
      </c>
      <c r="O51" s="1">
        <f t="shared" si="23"/>
        <v>2000</v>
      </c>
      <c r="P51" s="37">
        <f t="shared" si="23"/>
        <v>2001</v>
      </c>
    </row>
    <row r="52" spans="1:17" s="2" customFormat="1" ht="11.25" customHeight="1">
      <c r="A52" s="35"/>
      <c r="B52" s="11" t="s">
        <v>42</v>
      </c>
      <c r="C52" s="7"/>
      <c r="D52" s="38">
        <v>0.085</v>
      </c>
      <c r="E52" s="38">
        <v>0.085</v>
      </c>
      <c r="F52" s="38">
        <v>0.085</v>
      </c>
      <c r="G52" s="38">
        <v>0.085</v>
      </c>
      <c r="H52" s="38">
        <v>0.085</v>
      </c>
      <c r="I52" s="38">
        <v>0.085</v>
      </c>
      <c r="J52" s="38">
        <v>0.085</v>
      </c>
      <c r="K52" s="38">
        <v>0.085</v>
      </c>
      <c r="L52" s="38">
        <v>0.085</v>
      </c>
      <c r="M52" s="38">
        <v>0.085</v>
      </c>
      <c r="N52" s="38">
        <v>0.085</v>
      </c>
      <c r="O52" s="38">
        <v>0.085</v>
      </c>
      <c r="P52" s="39">
        <v>0.085</v>
      </c>
      <c r="Q52" s="5"/>
    </row>
    <row r="53" spans="1:16" ht="11.25" customHeight="1">
      <c r="A53" s="22"/>
      <c r="B53" s="11" t="s">
        <v>43</v>
      </c>
      <c r="C53" s="7"/>
      <c r="D53" s="38">
        <v>0.08</v>
      </c>
      <c r="E53" s="38">
        <v>0.08</v>
      </c>
      <c r="F53" s="38">
        <v>0.08</v>
      </c>
      <c r="G53" s="38">
        <v>0.08</v>
      </c>
      <c r="H53" s="38">
        <v>0.08</v>
      </c>
      <c r="I53" s="38">
        <v>0.08</v>
      </c>
      <c r="J53" s="38">
        <v>0.08</v>
      </c>
      <c r="K53" s="38">
        <v>0.08</v>
      </c>
      <c r="L53" s="38">
        <v>0.08</v>
      </c>
      <c r="M53" s="38">
        <v>0.08</v>
      </c>
      <c r="N53" s="38">
        <v>0.08</v>
      </c>
      <c r="O53" s="38">
        <v>0.08</v>
      </c>
      <c r="P53" s="39">
        <v>0.08</v>
      </c>
    </row>
    <row r="54" spans="1:16" ht="11.25" customHeight="1">
      <c r="A54" s="22"/>
      <c r="B54" s="11" t="s">
        <v>44</v>
      </c>
      <c r="C54" s="7"/>
      <c r="D54" s="40">
        <v>0.65</v>
      </c>
      <c r="E54" s="40">
        <v>0.65</v>
      </c>
      <c r="F54" s="40">
        <v>0.65</v>
      </c>
      <c r="G54" s="40">
        <v>0.65</v>
      </c>
      <c r="H54" s="40">
        <v>0.65</v>
      </c>
      <c r="I54" s="40">
        <v>0.65</v>
      </c>
      <c r="J54" s="40">
        <v>0.65</v>
      </c>
      <c r="K54" s="40">
        <v>0.65</v>
      </c>
      <c r="L54" s="40">
        <v>0.65</v>
      </c>
      <c r="M54" s="40">
        <v>0.65</v>
      </c>
      <c r="N54" s="40">
        <v>0.65</v>
      </c>
      <c r="O54" s="40">
        <v>0.65</v>
      </c>
      <c r="P54" s="41">
        <v>0.65</v>
      </c>
    </row>
    <row r="55" spans="1:16" ht="11.25" customHeight="1">
      <c r="A55" s="22"/>
      <c r="B55" s="11" t="s">
        <v>45</v>
      </c>
      <c r="C55" s="7"/>
      <c r="D55" s="40">
        <f>D54*(C74)/C59</f>
        <v>4.385119727168673</v>
      </c>
      <c r="E55" s="40">
        <f>E54*(D74)/D59</f>
        <v>2.111170468544022</v>
      </c>
      <c r="F55" s="40">
        <f>F54*(E74)/E59</f>
        <v>1.8212576039044783</v>
      </c>
      <c r="G55" s="40">
        <f>G54*(F74)/F59</f>
        <v>1.5901873804020927</v>
      </c>
      <c r="H55" s="40">
        <f>H54*(G74)/G59</f>
        <v>1.4008706595086176</v>
      </c>
      <c r="I55" s="40">
        <f>I54*(H74)/H59</f>
        <v>1.2466175061399856</v>
      </c>
      <c r="J55" s="40">
        <f>J54*(I74)/I59</f>
        <v>1.1179393429065283</v>
      </c>
      <c r="K55" s="40">
        <f>K54*(J74)/J59</f>
        <v>1.0086917354909068</v>
      </c>
      <c r="L55" s="40">
        <f>L54*(K74)/K59</f>
        <v>0.9141911887438533</v>
      </c>
      <c r="M55" s="40">
        <f>M54*(L74)/L59</f>
        <v>0.829859249645357</v>
      </c>
      <c r="N55" s="40">
        <f>N54*(M74)/M59</f>
        <v>0.7511321595145971</v>
      </c>
      <c r="O55" s="40">
        <f>O54*(N74)/N59</f>
        <v>0.6796536601375558</v>
      </c>
      <c r="P55" s="41">
        <f>P54*(O74)/O59</f>
        <v>0.65</v>
      </c>
    </row>
    <row r="56" spans="1:16" s="15" customFormat="1" ht="11.25" customHeight="1">
      <c r="A56" s="19">
        <v>1</v>
      </c>
      <c r="B56" s="14" t="s">
        <v>46</v>
      </c>
      <c r="C56" s="16"/>
      <c r="D56" s="20">
        <f aca="true" t="shared" si="24" ref="D56:P56">D52+D53*D55</f>
        <v>0.43580957817349386</v>
      </c>
      <c r="E56" s="20">
        <f t="shared" si="24"/>
        <v>0.25389363748352173</v>
      </c>
      <c r="F56" s="20">
        <f t="shared" si="24"/>
        <v>0.23070060831235828</v>
      </c>
      <c r="G56" s="20">
        <f t="shared" si="24"/>
        <v>0.2122149904321674</v>
      </c>
      <c r="H56" s="20">
        <f t="shared" si="24"/>
        <v>0.1970696527606894</v>
      </c>
      <c r="I56" s="20">
        <f t="shared" si="24"/>
        <v>0.18472940049119885</v>
      </c>
      <c r="J56" s="20">
        <f t="shared" si="24"/>
        <v>0.17443514743252225</v>
      </c>
      <c r="K56" s="20">
        <f t="shared" si="24"/>
        <v>0.16569533883927257</v>
      </c>
      <c r="L56" s="20">
        <f t="shared" si="24"/>
        <v>0.15813529509950827</v>
      </c>
      <c r="M56" s="20">
        <f t="shared" si="24"/>
        <v>0.15138873997162855</v>
      </c>
      <c r="N56" s="20">
        <f t="shared" si="24"/>
        <v>0.14509057276116777</v>
      </c>
      <c r="O56" s="20">
        <f t="shared" si="24"/>
        <v>0.13937229281100447</v>
      </c>
      <c r="P56" s="21">
        <f t="shared" si="24"/>
        <v>0.137</v>
      </c>
    </row>
    <row r="57" spans="1:16" ht="11.25" customHeight="1">
      <c r="A57" s="22"/>
      <c r="B57" s="11" t="s">
        <v>47</v>
      </c>
      <c r="C57" s="7"/>
      <c r="D57" s="7">
        <f>(1+D56)</f>
        <v>1.4358095781734939</v>
      </c>
      <c r="E57" s="7">
        <f aca="true" t="shared" si="25" ref="E57:P57">(1+E56)*D57</f>
        <v>1.800352494709643</v>
      </c>
      <c r="F57" s="7">
        <f t="shared" si="25"/>
        <v>2.2156949104158294</v>
      </c>
      <c r="G57" s="7">
        <f t="shared" si="25"/>
        <v>2.6858985846303263</v>
      </c>
      <c r="H57" s="7">
        <f t="shared" si="25"/>
        <v>3.215207686053852</v>
      </c>
      <c r="I57" s="7">
        <f t="shared" si="25"/>
        <v>3.8091510743532746</v>
      </c>
      <c r="J57" s="7">
        <f t="shared" si="25"/>
        <v>4.473600903600839</v>
      </c>
      <c r="K57" s="7">
        <f t="shared" si="25"/>
        <v>5.214855721154656</v>
      </c>
      <c r="L57" s="7">
        <f t="shared" si="25"/>
        <v>6.039508469520807</v>
      </c>
      <c r="M57" s="7">
        <f t="shared" si="25"/>
        <v>6.95382204676954</v>
      </c>
      <c r="N57" s="7">
        <f t="shared" si="25"/>
        <v>7.962756070414568</v>
      </c>
      <c r="O57" s="7">
        <f t="shared" si="25"/>
        <v>9.07254364104299</v>
      </c>
      <c r="P57" s="23">
        <f t="shared" si="25"/>
        <v>10.31548211986588</v>
      </c>
    </row>
    <row r="58" spans="1:17" ht="11.25" customHeight="1">
      <c r="A58" s="22"/>
      <c r="B58" s="11" t="s">
        <v>48</v>
      </c>
      <c r="C58" s="7"/>
      <c r="D58" s="7">
        <f aca="true" t="shared" si="26" ref="D58:O58">D43/D57</f>
        <v>3.167184268717251E-13</v>
      </c>
      <c r="E58" s="7">
        <f t="shared" si="26"/>
        <v>0.0666536138631253</v>
      </c>
      <c r="F58" s="7">
        <f t="shared" si="26"/>
        <v>0.21663632377525047</v>
      </c>
      <c r="G58" s="7">
        <f t="shared" si="26"/>
        <v>-0.08190927284408506</v>
      </c>
      <c r="H58" s="7">
        <f t="shared" si="26"/>
        <v>0.09952700766048636</v>
      </c>
      <c r="I58" s="7">
        <f t="shared" si="26"/>
        <v>-0.0787577058888683</v>
      </c>
      <c r="J58" s="7">
        <f t="shared" si="26"/>
        <v>-0.09388410120849432</v>
      </c>
      <c r="K58" s="7">
        <f t="shared" si="26"/>
        <v>-0.059088141649100166</v>
      </c>
      <c r="L58" s="7">
        <f t="shared" si="26"/>
        <v>0.06954208312144264</v>
      </c>
      <c r="M58" s="7">
        <f t="shared" si="26"/>
        <v>-0.03490492882413839</v>
      </c>
      <c r="N58" s="7">
        <f t="shared" si="26"/>
        <v>0.009913451988415041</v>
      </c>
      <c r="O58" s="7">
        <f t="shared" si="26"/>
        <v>254.24368176663032</v>
      </c>
      <c r="P58" s="23">
        <f>(P43+Q58)/P57</f>
        <v>4198.201399288419</v>
      </c>
      <c r="Q58" s="5">
        <f>P43*1.02/(P56-0.02)</f>
        <v>38850.13271711057</v>
      </c>
    </row>
    <row r="59" spans="1:16" s="15" customFormat="1" ht="13.5" customHeight="1" thickBot="1">
      <c r="A59" s="19">
        <v>2</v>
      </c>
      <c r="B59" s="44" t="s">
        <v>49</v>
      </c>
      <c r="C59" s="28">
        <f>SUM(D58:P58)</f>
        <v>4452.558809385044</v>
      </c>
      <c r="D59" s="26">
        <f aca="true" t="shared" si="27" ref="D59:P59">C59*(1+D56)-D43</f>
        <v>6393.026585895814</v>
      </c>
      <c r="E59" s="26">
        <f t="shared" si="27"/>
        <v>8016.055360317761</v>
      </c>
      <c r="F59" s="26">
        <f t="shared" si="27"/>
        <v>9864.88420820861</v>
      </c>
      <c r="G59" s="26">
        <f t="shared" si="27"/>
        <v>11958.580516068037</v>
      </c>
      <c r="H59" s="26">
        <f t="shared" si="27"/>
        <v>14314.933825880313</v>
      </c>
      <c r="I59" s="26">
        <f t="shared" si="27"/>
        <v>16959.622969606364</v>
      </c>
      <c r="J59" s="26">
        <f t="shared" si="27"/>
        <v>19918.397302709644</v>
      </c>
      <c r="K59" s="26">
        <f t="shared" si="27"/>
        <v>23219.091029050902</v>
      </c>
      <c r="L59" s="26">
        <f t="shared" si="27"/>
        <v>26890.428840872213</v>
      </c>
      <c r="M59" s="26">
        <f t="shared" si="27"/>
        <v>30961.579703052194</v>
      </c>
      <c r="N59" s="26">
        <f t="shared" si="27"/>
        <v>35453.73409735858</v>
      </c>
      <c r="O59" s="26">
        <f t="shared" si="27"/>
        <v>38088.36540893193</v>
      </c>
      <c r="P59" s="27">
        <f t="shared" si="27"/>
        <v>38850.132717110566</v>
      </c>
    </row>
    <row r="60" spans="1:16" s="15" customFormat="1" ht="11.25" customHeight="1">
      <c r="A60" s="19">
        <v>3</v>
      </c>
      <c r="B60" s="14" t="s">
        <v>50</v>
      </c>
      <c r="C60" s="16"/>
      <c r="D60" s="16">
        <f aca="true" t="shared" si="28" ref="D60:M60">D46</f>
        <v>0</v>
      </c>
      <c r="E60" s="16">
        <f t="shared" si="28"/>
        <v>0</v>
      </c>
      <c r="F60" s="16">
        <f t="shared" si="28"/>
        <v>0</v>
      </c>
      <c r="G60" s="16">
        <f t="shared" si="28"/>
        <v>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281.528136133531</v>
      </c>
      <c r="L60" s="16">
        <f t="shared" si="28"/>
        <v>3330.96</v>
      </c>
      <c r="M60" s="16">
        <f t="shared" si="28"/>
        <v>3339.468</v>
      </c>
      <c r="N60" s="16"/>
      <c r="O60" s="16"/>
      <c r="P60" s="24"/>
    </row>
    <row r="61" spans="1:16" ht="11.25" customHeight="1">
      <c r="A61" s="22"/>
      <c r="B61" s="11" t="s">
        <v>51</v>
      </c>
      <c r="C61" s="7"/>
      <c r="D61" s="40">
        <f>D54*(C74)/(C59+C65+C72)</f>
        <v>2.8568436743954044</v>
      </c>
      <c r="E61" s="40">
        <f>E54*(D74)/(D59+D65+D72)</f>
        <v>1.409104480200619</v>
      </c>
      <c r="F61" s="40">
        <f>F54*(E74)/(E59+E65+E72)</f>
        <v>1.2302992231570642</v>
      </c>
      <c r="G61" s="40">
        <f>G54*(F74)/(F59+F65+F72)</f>
        <v>1.0850157216491167</v>
      </c>
      <c r="H61" s="40">
        <f>H54*(G74)/(G59+G65+G72)</f>
        <v>0.9640040443498723</v>
      </c>
      <c r="I61" s="40">
        <f>I54*(H74)/(H59+H65+H72)</f>
        <v>0.8641252985148872</v>
      </c>
      <c r="J61" s="40">
        <f>J54*(I74)/(I59+I65+I72)</f>
        <v>0.7798557931800127</v>
      </c>
      <c r="K61" s="40">
        <f>K54*(J74)/(J59+J65+J72)</f>
        <v>0.707571684647636</v>
      </c>
      <c r="L61" s="40">
        <f>L54*(K74)/(K59+K65+K72)</f>
        <v>0.65</v>
      </c>
      <c r="M61" s="40">
        <f>M54*(L74)/(L59+L65+L72)</f>
        <v>0.65</v>
      </c>
      <c r="N61" s="40">
        <f>N54*(M74)/(M59+M65+M72)</f>
        <v>0.65</v>
      </c>
      <c r="O61" s="40">
        <f>O54*(N74)/(N59+N65+N72)</f>
        <v>0.65</v>
      </c>
      <c r="P61" s="41">
        <f>P54*(O74)/(O59+O65+O72)</f>
        <v>0.65</v>
      </c>
    </row>
    <row r="62" spans="1:16" s="15" customFormat="1" ht="11.25" customHeight="1">
      <c r="A62" s="19">
        <v>4</v>
      </c>
      <c r="B62" s="14" t="s">
        <v>52</v>
      </c>
      <c r="C62" s="16"/>
      <c r="D62" s="20">
        <f>D52+D53*D61</f>
        <v>0.31354749395163234</v>
      </c>
      <c r="E62" s="20">
        <f>E52+E53*E61</f>
        <v>0.19772835841604952</v>
      </c>
      <c r="F62" s="20">
        <f>F52+F53*F61</f>
        <v>0.18342393785256514</v>
      </c>
      <c r="G62" s="20">
        <f>G52+G53*G61</f>
        <v>0.17180125773192934</v>
      </c>
      <c r="H62" s="20">
        <f>H52+H53*H61</f>
        <v>0.16212032354798978</v>
      </c>
      <c r="I62" s="20">
        <f>I52+I53*I61</f>
        <v>0.154130023881191</v>
      </c>
      <c r="J62" s="20">
        <f>J52+J53*J61</f>
        <v>0.14738846345440104</v>
      </c>
      <c r="K62" s="20">
        <f>K52+K53*K61</f>
        <v>0.14160573477181088</v>
      </c>
      <c r="L62" s="20">
        <f>L52+L53*L61</f>
        <v>0.137</v>
      </c>
      <c r="M62" s="20">
        <f>M52+M53*M61</f>
        <v>0.137</v>
      </c>
      <c r="N62" s="20"/>
      <c r="O62" s="20"/>
      <c r="P62" s="21"/>
    </row>
    <row r="63" spans="1:16" ht="11.25" customHeight="1">
      <c r="A63" s="22"/>
      <c r="B63" s="11" t="s">
        <v>53</v>
      </c>
      <c r="C63" s="7"/>
      <c r="D63" s="7">
        <f>(1+D62)</f>
        <v>1.3135474939516323</v>
      </c>
      <c r="E63" s="7">
        <f aca="true" t="shared" si="29" ref="E63:M63">(1+E62)*D63</f>
        <v>1.5732730836322042</v>
      </c>
      <c r="F63" s="7">
        <f t="shared" si="29"/>
        <v>1.861849027949471</v>
      </c>
      <c r="G63" s="7">
        <f t="shared" si="29"/>
        <v>2.1817170326581605</v>
      </c>
      <c r="H63" s="7">
        <f t="shared" si="29"/>
        <v>2.5354177038828616</v>
      </c>
      <c r="I63" s="7">
        <f t="shared" si="29"/>
        <v>2.9262016951311214</v>
      </c>
      <c r="J63" s="7">
        <f t="shared" si="29"/>
        <v>3.3574900667341607</v>
      </c>
      <c r="K63" s="7">
        <f t="shared" si="29"/>
        <v>3.832929914623108</v>
      </c>
      <c r="L63" s="7">
        <f t="shared" si="29"/>
        <v>4.358041312926474</v>
      </c>
      <c r="M63" s="7">
        <f t="shared" si="29"/>
        <v>4.955092972797401</v>
      </c>
      <c r="N63" s="7"/>
      <c r="O63" s="7"/>
      <c r="P63" s="23"/>
    </row>
    <row r="64" spans="1:16" ht="11.25" customHeight="1">
      <c r="A64" s="22"/>
      <c r="B64" s="11" t="s">
        <v>54</v>
      </c>
      <c r="C64" s="7"/>
      <c r="D64" s="7">
        <f aca="true" t="shared" si="30" ref="D64:M64">D60/D63</f>
        <v>0</v>
      </c>
      <c r="E64" s="7">
        <f t="shared" si="30"/>
        <v>0</v>
      </c>
      <c r="F64" s="7">
        <f t="shared" si="30"/>
        <v>0</v>
      </c>
      <c r="G64" s="7">
        <f t="shared" si="30"/>
        <v>0</v>
      </c>
      <c r="H64" s="7">
        <f t="shared" si="30"/>
        <v>0</v>
      </c>
      <c r="I64" s="7">
        <f t="shared" si="30"/>
        <v>0</v>
      </c>
      <c r="J64" s="7">
        <f t="shared" si="30"/>
        <v>0</v>
      </c>
      <c r="K64" s="7">
        <f t="shared" si="30"/>
        <v>73.44985230736046</v>
      </c>
      <c r="L64" s="7">
        <f t="shared" si="30"/>
        <v>764.3250168647949</v>
      </c>
      <c r="M64" s="7">
        <f t="shared" si="30"/>
        <v>673.9465875480234</v>
      </c>
      <c r="N64" s="7"/>
      <c r="O64" s="7"/>
      <c r="P64" s="23"/>
    </row>
    <row r="65" spans="1:26" s="15" customFormat="1" ht="13.5" customHeight="1" thickBot="1">
      <c r="A65" s="19">
        <v>5</v>
      </c>
      <c r="B65" s="44" t="s">
        <v>55</v>
      </c>
      <c r="C65" s="28">
        <f>SUM(D64:P64)</f>
        <v>1511.7214567201788</v>
      </c>
      <c r="D65" s="26">
        <f aca="true" t="shared" si="31" ref="D65:M65">C65*(1+D62)-D60</f>
        <v>1985.7179310277018</v>
      </c>
      <c r="E65" s="26">
        <f t="shared" si="31"/>
        <v>2378.3506778071232</v>
      </c>
      <c r="F65" s="26">
        <f t="shared" si="31"/>
        <v>2814.597124724823</v>
      </c>
      <c r="G65" s="26">
        <f t="shared" si="31"/>
        <v>3298.14845076122</v>
      </c>
      <c r="H65" s="26">
        <f t="shared" si="31"/>
        <v>3832.84534470793</v>
      </c>
      <c r="I65" s="26">
        <f t="shared" si="31"/>
        <v>4423.601889220675</v>
      </c>
      <c r="J65" s="26">
        <f t="shared" si="31"/>
        <v>5075.589774606895</v>
      </c>
      <c r="K65" s="26">
        <f t="shared" si="31"/>
        <v>5512.794257906863</v>
      </c>
      <c r="L65" s="26">
        <f t="shared" si="31"/>
        <v>2937.087071240104</v>
      </c>
      <c r="M65" s="26">
        <f t="shared" si="31"/>
        <v>0</v>
      </c>
      <c r="N65" s="16"/>
      <c r="O65" s="16"/>
      <c r="P65" s="24"/>
      <c r="R65" s="5"/>
      <c r="S65" s="5"/>
      <c r="T65" s="5"/>
      <c r="U65" s="5"/>
      <c r="V65" s="5"/>
      <c r="W65" s="5"/>
      <c r="X65" s="5"/>
      <c r="Y65" s="5"/>
      <c r="Z65" s="5"/>
    </row>
    <row r="66" spans="1:16" ht="11.25" customHeight="1">
      <c r="A66" s="22"/>
      <c r="B66" s="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3"/>
    </row>
    <row r="67" spans="1:26" s="15" customFormat="1" ht="11.25" customHeight="1">
      <c r="A67" s="19">
        <v>6</v>
      </c>
      <c r="B67" s="14" t="s">
        <v>56</v>
      </c>
      <c r="C67" s="16"/>
      <c r="D67" s="16">
        <f aca="true" t="shared" si="32" ref="D67:O67">D47</f>
        <v>0</v>
      </c>
      <c r="E67" s="16">
        <f t="shared" si="32"/>
        <v>0</v>
      </c>
      <c r="F67" s="16">
        <f t="shared" si="32"/>
        <v>0</v>
      </c>
      <c r="G67" s="16">
        <f t="shared" si="32"/>
        <v>0</v>
      </c>
      <c r="H67" s="16">
        <f t="shared" si="32"/>
        <v>0</v>
      </c>
      <c r="I67" s="16">
        <f t="shared" si="32"/>
        <v>0</v>
      </c>
      <c r="J67" s="16">
        <f t="shared" si="32"/>
        <v>0</v>
      </c>
      <c r="K67" s="16">
        <f t="shared" si="32"/>
        <v>0</v>
      </c>
      <c r="L67" s="16">
        <f t="shared" si="32"/>
        <v>0</v>
      </c>
      <c r="M67" s="16">
        <f t="shared" si="32"/>
        <v>325.33472266359786</v>
      </c>
      <c r="N67" s="16">
        <f t="shared" si="32"/>
        <v>3859.776</v>
      </c>
      <c r="O67" s="16">
        <f t="shared" si="32"/>
        <v>1839.024</v>
      </c>
      <c r="P67" s="24"/>
      <c r="R67" s="5"/>
      <c r="S67" s="5"/>
      <c r="T67" s="5"/>
      <c r="U67" s="5"/>
      <c r="V67" s="5"/>
      <c r="W67" s="5"/>
      <c r="X67" s="5"/>
      <c r="Y67" s="5"/>
      <c r="Z67" s="5"/>
    </row>
    <row r="68" spans="1:16" ht="11.25" customHeight="1">
      <c r="A68" s="22"/>
      <c r="B68" s="11" t="s">
        <v>57</v>
      </c>
      <c r="C68" s="7"/>
      <c r="D68" s="40">
        <f>D54*(C74)/(C59+C72)</f>
        <v>3.6682204242438674</v>
      </c>
      <c r="E68" s="40">
        <f>E54*(D74)/(D59+D72)</f>
        <v>1.7776350784812056</v>
      </c>
      <c r="F68" s="40">
        <f>F54*(E74)/(E59+E72)</f>
        <v>1.5386938225199291</v>
      </c>
      <c r="G68" s="40">
        <f>G54*(F74)/(F59+F72)</f>
        <v>1.3473030197560798</v>
      </c>
      <c r="H68" s="40">
        <f>H54*(G74)/(G59+G72)</f>
        <v>1.1898187319083289</v>
      </c>
      <c r="I68" s="40">
        <f>I54*(H74)/(H59+H72)</f>
        <v>1.061056182227996</v>
      </c>
      <c r="J68" s="40">
        <f>J54*(I74)/(I59+I72)</f>
        <v>0.9533125463267278</v>
      </c>
      <c r="K68" s="40">
        <f>K54*(J74)/(J59+J72)</f>
        <v>0.8615780760619549</v>
      </c>
      <c r="L68" s="40">
        <f>L54*(K74)/(K59+K72)</f>
        <v>0.7820130614834383</v>
      </c>
      <c r="M68" s="40">
        <f>M54*(L74)/(L59+L72)</f>
        <v>0.7108110008787883</v>
      </c>
      <c r="N68" s="40">
        <f>N54*(M74)/(M59+M72)</f>
        <v>0.65</v>
      </c>
      <c r="O68" s="40">
        <f>O54*(N74)/(N59+N72)</f>
        <v>0.65</v>
      </c>
      <c r="P68" s="41">
        <f>P54*(O74)/(O59+O72)</f>
        <v>0.65</v>
      </c>
    </row>
    <row r="69" spans="1:26" s="15" customFormat="1" ht="11.25" customHeight="1">
      <c r="A69" s="19">
        <v>7</v>
      </c>
      <c r="B69" s="14" t="s">
        <v>58</v>
      </c>
      <c r="C69" s="16"/>
      <c r="D69" s="20">
        <f>D52+D53*D68</f>
        <v>0.37845763393950943</v>
      </c>
      <c r="E69" s="20">
        <f>E52+E53*E68</f>
        <v>0.22721080627849644</v>
      </c>
      <c r="F69" s="20">
        <f>F52+F53*F68</f>
        <v>0.20809550580159436</v>
      </c>
      <c r="G69" s="20">
        <f>G52+G53*G68</f>
        <v>0.1927842415804864</v>
      </c>
      <c r="H69" s="20">
        <f>H52+H53*H68</f>
        <v>0.1801854985526663</v>
      </c>
      <c r="I69" s="20">
        <f>I52+I53*I68</f>
        <v>0.16988449457823968</v>
      </c>
      <c r="J69" s="20">
        <f>J52+J53*J68</f>
        <v>0.16126500370613822</v>
      </c>
      <c r="K69" s="20">
        <f>K52+K53*K68</f>
        <v>0.15392624608495642</v>
      </c>
      <c r="L69" s="20">
        <f>L52+L53*L68</f>
        <v>0.14756104491867506</v>
      </c>
      <c r="M69" s="20">
        <f>M52+M53*M68</f>
        <v>0.14186488007030307</v>
      </c>
      <c r="N69" s="20">
        <f>N52+N53*N68</f>
        <v>0.137</v>
      </c>
      <c r="O69" s="20">
        <f>O52+O53*O68</f>
        <v>0.137</v>
      </c>
      <c r="P69" s="21"/>
      <c r="R69" s="5"/>
      <c r="S69" s="5"/>
      <c r="T69" s="5"/>
      <c r="U69" s="5"/>
      <c r="V69" s="5"/>
      <c r="W69" s="5"/>
      <c r="X69" s="5"/>
      <c r="Y69" s="5"/>
      <c r="Z69" s="5"/>
    </row>
    <row r="70" spans="1:26" s="8" customFormat="1" ht="11.25" customHeight="1">
      <c r="A70" s="22"/>
      <c r="B70" s="11" t="s">
        <v>59</v>
      </c>
      <c r="C70" s="7"/>
      <c r="D70" s="7">
        <f>(1+D69)</f>
        <v>1.3784576339395094</v>
      </c>
      <c r="E70" s="7">
        <f aca="true" t="shared" si="33" ref="E70:O70">(1+E69)*D70</f>
        <v>1.6916581043676537</v>
      </c>
      <c r="F70" s="7">
        <f t="shared" si="33"/>
        <v>2.043684553239407</v>
      </c>
      <c r="G70" s="7">
        <f t="shared" si="33"/>
        <v>2.4376747298654213</v>
      </c>
      <c r="H70" s="7">
        <f t="shared" si="33"/>
        <v>2.876908366375458</v>
      </c>
      <c r="I70" s="7">
        <f t="shared" si="33"/>
        <v>3.365650490145062</v>
      </c>
      <c r="J70" s="7">
        <f t="shared" si="33"/>
        <v>3.9084121289118716</v>
      </c>
      <c r="K70" s="7">
        <f t="shared" si="33"/>
        <v>4.510019336068189</v>
      </c>
      <c r="L70" s="7">
        <f t="shared" si="33"/>
        <v>5.17552250190184</v>
      </c>
      <c r="M70" s="7">
        <f t="shared" si="33"/>
        <v>5.9097473809353</v>
      </c>
      <c r="N70" s="7">
        <f t="shared" si="33"/>
        <v>6.719382772123436</v>
      </c>
      <c r="O70" s="7">
        <f t="shared" si="33"/>
        <v>7.639938211904346</v>
      </c>
      <c r="P70" s="23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16" ht="12" customHeight="1">
      <c r="A71" s="22"/>
      <c r="B71" s="11" t="s">
        <v>60</v>
      </c>
      <c r="C71" s="7"/>
      <c r="D71" s="7">
        <f aca="true" t="shared" si="34" ref="D71:O71">D67/D70</f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55.05052952231422</v>
      </c>
      <c r="N71" s="7">
        <f t="shared" si="34"/>
        <v>574.4241890807252</v>
      </c>
      <c r="O71" s="7">
        <f t="shared" si="34"/>
        <v>240.71189438868527</v>
      </c>
      <c r="P71" s="23"/>
    </row>
    <row r="72" spans="1:26" s="15" customFormat="1" ht="12.75" customHeight="1" thickBot="1">
      <c r="A72" s="19">
        <v>8</v>
      </c>
      <c r="B72" s="44" t="s">
        <v>61</v>
      </c>
      <c r="C72" s="28">
        <f>SUM(D71:P71)</f>
        <v>870.1866129917248</v>
      </c>
      <c r="D72" s="26">
        <f aca="true" t="shared" si="35" ref="D72:O72">C72*(1+D69)-D67</f>
        <v>1199.5153796304085</v>
      </c>
      <c r="E72" s="26">
        <f t="shared" si="35"/>
        <v>1472.05823617969</v>
      </c>
      <c r="F72" s="26">
        <f t="shared" si="35"/>
        <v>1778.3869394069054</v>
      </c>
      <c r="G72" s="26">
        <f t="shared" si="35"/>
        <v>2121.231916757108</v>
      </c>
      <c r="H72" s="26">
        <f t="shared" si="35"/>
        <v>2503.4471472238156</v>
      </c>
      <c r="I72" s="26">
        <f t="shared" si="35"/>
        <v>2928.744000533269</v>
      </c>
      <c r="J72" s="26">
        <f t="shared" si="35"/>
        <v>3401.047912633597</v>
      </c>
      <c r="K72" s="26">
        <f t="shared" si="35"/>
        <v>3924.5584505803636</v>
      </c>
      <c r="L72" s="26">
        <f t="shared" si="35"/>
        <v>4503.670396392418</v>
      </c>
      <c r="M72" s="26">
        <f t="shared" si="35"/>
        <v>4817.248334389205</v>
      </c>
      <c r="N72" s="26">
        <f t="shared" si="35"/>
        <v>1617.4353562005272</v>
      </c>
      <c r="O72" s="26">
        <f t="shared" si="35"/>
        <v>0</v>
      </c>
      <c r="P72" s="24"/>
      <c r="R72" s="5"/>
      <c r="S72" s="5"/>
      <c r="T72" s="5"/>
      <c r="U72" s="5"/>
      <c r="V72" s="5"/>
      <c r="W72" s="5"/>
      <c r="X72" s="5"/>
      <c r="Y72" s="5"/>
      <c r="Z72" s="5"/>
    </row>
    <row r="73" spans="1:26" s="15" customFormat="1" ht="11.25" customHeight="1" thickBot="1">
      <c r="A73" s="19">
        <v>9</v>
      </c>
      <c r="B73" s="44" t="s">
        <v>62</v>
      </c>
      <c r="C73" s="29">
        <f aca="true" t="shared" si="36" ref="C73:P73">C8+C9</f>
        <v>23204</v>
      </c>
      <c r="D73" s="26">
        <f t="shared" si="36"/>
        <v>11186</v>
      </c>
      <c r="E73" s="26">
        <f t="shared" si="36"/>
        <v>10594</v>
      </c>
      <c r="F73" s="26">
        <f t="shared" si="36"/>
        <v>9676</v>
      </c>
      <c r="G73" s="26">
        <f t="shared" si="36"/>
        <v>8395</v>
      </c>
      <c r="H73" s="26">
        <f t="shared" si="36"/>
        <v>6803</v>
      </c>
      <c r="I73" s="26">
        <f t="shared" si="36"/>
        <v>4857</v>
      </c>
      <c r="J73" s="26">
        <f t="shared" si="36"/>
        <v>2515</v>
      </c>
      <c r="K73" s="26">
        <f t="shared" si="36"/>
        <v>0</v>
      </c>
      <c r="L73" s="26">
        <f t="shared" si="36"/>
        <v>0</v>
      </c>
      <c r="M73" s="26">
        <f t="shared" si="36"/>
        <v>0</v>
      </c>
      <c r="N73" s="26">
        <f t="shared" si="36"/>
        <v>0</v>
      </c>
      <c r="O73" s="26">
        <f t="shared" si="36"/>
        <v>0</v>
      </c>
      <c r="P73" s="27">
        <f t="shared" si="36"/>
        <v>0</v>
      </c>
      <c r="R73" s="5"/>
      <c r="S73" s="5"/>
      <c r="T73" s="5"/>
      <c r="U73" s="5"/>
      <c r="V73" s="5"/>
      <c r="W73" s="5"/>
      <c r="X73" s="5"/>
      <c r="Y73" s="5"/>
      <c r="Z73" s="5"/>
    </row>
    <row r="74" spans="1:26" s="15" customFormat="1" ht="13.5" customHeight="1" thickBot="1">
      <c r="A74" s="25">
        <v>10</v>
      </c>
      <c r="B74" s="43" t="s">
        <v>63</v>
      </c>
      <c r="C74" s="17">
        <f>C59+C73+C65+C72</f>
        <v>30038.466879096948</v>
      </c>
      <c r="D74" s="30">
        <f>D59+D73+D65+D72</f>
        <v>20764.259896553926</v>
      </c>
      <c r="E74" s="30">
        <f>E59+E73+E65+E72</f>
        <v>22460.464274304577</v>
      </c>
      <c r="F74" s="30">
        <f>F59+F73+F65+F72</f>
        <v>24133.86827234034</v>
      </c>
      <c r="G74" s="30">
        <f>G59+G73+G65+G72</f>
        <v>25772.960883586366</v>
      </c>
      <c r="H74" s="30">
        <f>H59+H73+H65+H72</f>
        <v>27454.226317812056</v>
      </c>
      <c r="I74" s="30">
        <f>I59+I73+I65+I72</f>
        <v>29168.968859360306</v>
      </c>
      <c r="J74" s="30">
        <f>J59+J73+J65+J72</f>
        <v>30910.034989950134</v>
      </c>
      <c r="K74" s="30">
        <f>K59+K73+K65+K72</f>
        <v>32656.443737538128</v>
      </c>
      <c r="L74" s="30">
        <f>L59+L73+L65+L72</f>
        <v>34331.18630850474</v>
      </c>
      <c r="M74" s="30">
        <f>M59+M73+M65+M72</f>
        <v>35778.8280374414</v>
      </c>
      <c r="N74" s="30">
        <f>N59+N73+N65+N72</f>
        <v>37071.16945355911</v>
      </c>
      <c r="O74" s="30">
        <f>O59+O73+O65+O72</f>
        <v>38088.36540893193</v>
      </c>
      <c r="P74" s="42">
        <f>P59+P73+P65+P72</f>
        <v>38850.132717110566</v>
      </c>
      <c r="R74" s="5"/>
      <c r="S74" s="5"/>
      <c r="T74" s="5"/>
      <c r="U74" s="5"/>
      <c r="V74" s="5"/>
      <c r="W74" s="5"/>
      <c r="X74" s="5"/>
      <c r="Y74" s="5"/>
      <c r="Z74" s="5"/>
    </row>
    <row r="75" spans="3:16" ht="10.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2003-11-18T15:14:18Z</dcterms:created>
  <dcterms:modified xsi:type="dcterms:W3CDTF">2004-03-06T13:36:10Z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1957424548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