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0.18" sheetId="1" r:id="rId1"/>
  </sheets>
  <externalReferences>
    <externalReference r:id="rId4"/>
    <externalReference r:id="rId5"/>
  </externalReferences>
  <definedNames>
    <definedName name="_xlnm.Print_Area" localSheetId="0">'20.18'!$B$1:$P$69</definedName>
  </definedNames>
  <calcPr fullCalcOnLoad="1" iterate="1" iterateCount="100" iterateDelta="1E-06"/>
</workbook>
</file>

<file path=xl/sharedStrings.xml><?xml version="1.0" encoding="utf-8"?>
<sst xmlns="http://schemas.openxmlformats.org/spreadsheetml/2006/main" count="61" uniqueCount="59">
  <si>
    <t>RJR NABISCO. 3. Estrategia del grupo de dirección</t>
  </si>
  <si>
    <t>($ millones)</t>
  </si>
  <si>
    <t>NOF</t>
  </si>
  <si>
    <t>Activos fijos</t>
  </si>
  <si>
    <t>Total activo neto</t>
  </si>
  <si>
    <t>Deuda asumida</t>
  </si>
  <si>
    <t>Nueva deuda</t>
  </si>
  <si>
    <t>Preferentes</t>
  </si>
  <si>
    <t>Preferentes convert.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</si>
  <si>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</si>
  <si>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</si>
  <si>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</si>
  <si>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</si>
  <si>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</si>
  <si>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</si>
  <si>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</si>
  <si>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El beneficio neto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</si>
  <si>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</si>
  <si>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</si>
  <si>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</si>
  <si>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</si>
  <si>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</si>
  <si>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</si>
  <si>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</si>
  <si>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extraordinario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</si>
  <si>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</si>
  <si>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</si>
  <si>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</si>
  <si>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</si>
  <si>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</si>
  <si>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</si>
  <si>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 Aumento de deuda</t>
  </si>
  <si>
    <t xml:space="preserve"> + dividendos preferentes</t>
  </si>
  <si>
    <t xml:space="preserve"> -Amortización preferentes</t>
  </si>
  <si>
    <t xml:space="preserve"> -Amortización preferentes convertibles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</si>
  <si>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</si>
  <si>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</si>
  <si>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</si>
  <si>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</si>
  <si>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 xml:space="preserve"> +Amortización preferentes convertibles</t>
  </si>
  <si>
    <t>FCF</t>
  </si>
  <si>
    <t>Rf</t>
  </si>
  <si>
    <t>Pm</t>
  </si>
  <si>
    <t>Beta u</t>
  </si>
  <si>
    <t>beta L</t>
  </si>
  <si>
    <t>Producto (1+Ke)</t>
  </si>
  <si>
    <t>CFac / Producto (1+Ke)</t>
  </si>
  <si>
    <t>D</t>
  </si>
  <si>
    <t>D+E+Pr+PrCo</t>
  </si>
  <si>
    <t>Kd</t>
  </si>
  <si>
    <t>WACC</t>
  </si>
  <si>
    <t>Producto (1+WACC)</t>
  </si>
  <si>
    <t>FCF / Producto (1+wacc)</t>
  </si>
  <si>
    <t>Considerando las preferentes y preferentes conv como acciones</t>
  </si>
  <si>
    <t>Kacc, pref y convert.</t>
  </si>
  <si>
    <t>D+E+Pr+PrCo=VA(FCF;WACC)</t>
  </si>
  <si>
    <t>CFacc+CFpref+CFprefconver</t>
  </si>
  <si>
    <t>E+Pr+PrCo=VA(CFac...;Kacc...)</t>
  </si>
  <si>
    <t>Comprobación: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</si>
</sst>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0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8"/>
          <c:h val="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'20.18'!#REF!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6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'20.18'!#REF!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'20.18'!#REF!</c:f>
              <c:numCache>
                <c:ptCount val="13"/>
                <c:pt idx="0">
                  <c:v>-1079.4986527175358</c:v>
                </c:pt>
                <c:pt idx="1">
                  <c:v>-791.7778326781859</c:v>
                </c:pt>
                <c:pt idx="2">
                  <c:v>-522.0555445996049</c:v>
                </c:pt>
                <c:pt idx="3">
                  <c:v>-240.50834059025965</c:v>
                </c:pt>
                <c:pt idx="4">
                  <c:v>-45.104870062228656</c:v>
                </c:pt>
                <c:pt idx="5">
                  <c:v>171.93911110287036</c:v>
                </c:pt>
                <c:pt idx="6">
                  <c:v>408.778340996153</c:v>
                </c:pt>
                <c:pt idx="7">
                  <c:v>668.9172800465167</c:v>
                </c:pt>
                <c:pt idx="8">
                  <c:v>981.2669995660103</c:v>
                </c:pt>
                <c:pt idx="9">
                  <c:v>1376.417410671981</c:v>
                </c:pt>
                <c:pt idx="10">
                  <c:v>1669.9781331499348</c:v>
                </c:pt>
                <c:pt idx="11">
                  <c:v>2050.997724732919</c:v>
                </c:pt>
                <c:pt idx="12">
                  <c:v>2413.050752845037</c:v>
                </c:pt>
              </c:numCache>
            </c:numRef>
          </c:val>
        </c:ser>
        <c:ser>
          <c:idx val="5"/>
          <c:order val="1"/>
          <c:tx>
            <c:strRef>
              <c:f>'20.18'!#REF!</c:f>
              <c:strCache>
                <c:ptCount val="1"/>
                <c:pt idx="0">
                  <c:v>EVA KKR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'20.18'!#REF!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'20.18'!#REF!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0326915"/>
        <c:axId val="6071324"/>
      </c:bar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71324"/>
        <c:crossesAt val="0"/>
        <c:auto val="0"/>
        <c:lblOffset val="100"/>
        <c:noMultiLvlLbl val="0"/>
      </c:catAx>
      <c:valAx>
        <c:axId val="6071324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dólares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26915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"/>
          <c:y val="0.073"/>
          <c:w val="0.4445"/>
          <c:h val="0.099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110</xdr:row>
      <xdr:rowOff>0</xdr:rowOff>
    </xdr:from>
    <xdr:to>
      <xdr:col>13</xdr:col>
      <xdr:colOff>57150</xdr:colOff>
      <xdr:row>121</xdr:row>
      <xdr:rowOff>133350</xdr:rowOff>
    </xdr:to>
    <xdr:graphicFrame>
      <xdr:nvGraphicFramePr>
        <xdr:cNvPr id="1" name="Chart 4"/>
        <xdr:cNvGraphicFramePr/>
      </xdr:nvGraphicFramePr>
      <xdr:xfrm>
        <a:off x="381000" y="17935575"/>
        <a:ext cx="68770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3MM-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3M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pane ySplit="1605" topLeftCell="BM50" activePane="bottomLeft" state="split"/>
      <selection pane="topLeft" activeCell="E1" sqref="E1:P16384"/>
      <selection pane="bottomLeft" activeCell="E64" sqref="E64"/>
    </sheetView>
  </sheetViews>
  <sheetFormatPr defaultColWidth="9.00390625" defaultRowHeight="12.75"/>
  <cols>
    <col min="1" max="1" width="5.00390625" style="11" customWidth="1"/>
    <col min="2" max="2" width="22.875" style="5" customWidth="1"/>
    <col min="3" max="4" width="6.875" style="5" customWidth="1"/>
    <col min="5" max="12" width="5.875" style="5" customWidth="1"/>
    <col min="13" max="13" width="5.875" style="11" customWidth="1"/>
    <col min="14" max="16" width="5.875" style="5" customWidth="1"/>
    <col min="17" max="17" width="5.75390625" style="5" customWidth="1"/>
    <col min="18" max="18" width="6.75390625" style="5" customWidth="1"/>
    <col min="19" max="16384" width="10.75390625" style="5" customWidth="1"/>
  </cols>
  <sheetData>
    <row r="1" spans="1:13" s="2" customFormat="1" ht="18" customHeight="1">
      <c r="A1" s="1"/>
      <c r="C1" s="3"/>
      <c r="D1" s="3"/>
      <c r="E1" s="3" t="s">
        <v>0</v>
      </c>
      <c r="G1" s="3"/>
      <c r="H1" s="3"/>
      <c r="I1" s="3"/>
      <c r="M1" s="1"/>
    </row>
    <row r="2" spans="1:13" s="2" customFormat="1" ht="10.5" customHeight="1">
      <c r="A2" s="1"/>
      <c r="C2" s="3"/>
      <c r="D2" s="3"/>
      <c r="E2" s="3"/>
      <c r="G2" s="3"/>
      <c r="H2" s="3"/>
      <c r="I2" s="3"/>
      <c r="M2" s="1"/>
    </row>
    <row r="3" spans="1:16" s="2" customFormat="1" ht="12.75">
      <c r="A3" s="1"/>
      <c r="B3" s="4" t="s">
        <v>1</v>
      </c>
      <c r="C3" s="2">
        <v>1988</v>
      </c>
      <c r="D3" s="2">
        <f aca="true" t="shared" si="0" ref="D3:P3">C3+1</f>
        <v>1989</v>
      </c>
      <c r="E3" s="2">
        <f t="shared" si="0"/>
        <v>1990</v>
      </c>
      <c r="F3" s="2">
        <f t="shared" si="0"/>
        <v>1991</v>
      </c>
      <c r="G3" s="2">
        <f t="shared" si="0"/>
        <v>1992</v>
      </c>
      <c r="H3" s="2">
        <f t="shared" si="0"/>
        <v>1993</v>
      </c>
      <c r="I3" s="2">
        <f t="shared" si="0"/>
        <v>1994</v>
      </c>
      <c r="J3" s="2">
        <f t="shared" si="0"/>
        <v>1995</v>
      </c>
      <c r="K3" s="2">
        <f t="shared" si="0"/>
        <v>1996</v>
      </c>
      <c r="L3" s="2">
        <f t="shared" si="0"/>
        <v>1997</v>
      </c>
      <c r="M3" s="1">
        <f t="shared" si="0"/>
        <v>1998</v>
      </c>
      <c r="N3" s="2">
        <f t="shared" si="0"/>
        <v>1999</v>
      </c>
      <c r="O3" s="2">
        <f t="shared" si="0"/>
        <v>2000</v>
      </c>
      <c r="P3" s="2">
        <f t="shared" si="0"/>
        <v>2001</v>
      </c>
    </row>
    <row r="4" spans="1:16" s="2" customFormat="1" ht="12.75">
      <c r="A4" s="1"/>
      <c r="B4" s="5" t="s">
        <v>2</v>
      </c>
      <c r="C4" s="6">
        <v>1191</v>
      </c>
      <c r="D4" s="6">
        <f>C4+D37-590</f>
        <v>642</v>
      </c>
      <c r="E4" s="6">
        <f aca="true" t="shared" si="1" ref="E4:P4">D4+E37</f>
        <v>687</v>
      </c>
      <c r="F4" s="6">
        <f t="shared" si="1"/>
        <v>735</v>
      </c>
      <c r="G4" s="6">
        <f t="shared" si="1"/>
        <v>787</v>
      </c>
      <c r="H4" s="6">
        <f t="shared" si="1"/>
        <v>844</v>
      </c>
      <c r="I4" s="6">
        <f t="shared" si="1"/>
        <v>905</v>
      </c>
      <c r="J4" s="6">
        <f t="shared" si="1"/>
        <v>972</v>
      </c>
      <c r="K4" s="6">
        <f t="shared" si="1"/>
        <v>1044</v>
      </c>
      <c r="L4" s="6">
        <f t="shared" si="1"/>
        <v>1122</v>
      </c>
      <c r="M4" s="7">
        <f t="shared" si="1"/>
        <v>1207</v>
      </c>
      <c r="N4" s="6">
        <f t="shared" si="1"/>
        <v>1299</v>
      </c>
      <c r="O4" s="6">
        <f t="shared" si="1"/>
        <v>1399</v>
      </c>
      <c r="P4" s="6">
        <f t="shared" si="1"/>
        <v>1507</v>
      </c>
    </row>
    <row r="5" spans="1:16" s="2" customFormat="1" ht="12.75">
      <c r="A5" s="1"/>
      <c r="B5" s="5" t="s">
        <v>3</v>
      </c>
      <c r="C5" s="6">
        <f>C13-C4</f>
        <v>26758</v>
      </c>
      <c r="D5" s="6">
        <f>C5+D36-D35-D17+590</f>
        <v>14323</v>
      </c>
      <c r="E5" s="6">
        <f aca="true" t="shared" si="2" ref="E5:P5">D5+E36-E35</f>
        <v>13979</v>
      </c>
      <c r="F5" s="6">
        <f t="shared" si="2"/>
        <v>13633</v>
      </c>
      <c r="G5" s="6">
        <f t="shared" si="2"/>
        <v>13287</v>
      </c>
      <c r="H5" s="6">
        <f t="shared" si="2"/>
        <v>12934</v>
      </c>
      <c r="I5" s="6">
        <f t="shared" si="2"/>
        <v>12582</v>
      </c>
      <c r="J5" s="6">
        <f t="shared" si="2"/>
        <v>12236</v>
      </c>
      <c r="K5" s="6">
        <f t="shared" si="2"/>
        <v>11895</v>
      </c>
      <c r="L5" s="6">
        <f t="shared" si="2"/>
        <v>11558</v>
      </c>
      <c r="M5" s="7">
        <f t="shared" si="2"/>
        <v>11226</v>
      </c>
      <c r="N5" s="6">
        <f t="shared" si="2"/>
        <v>10932</v>
      </c>
      <c r="O5" s="6">
        <f t="shared" si="2"/>
        <v>10680</v>
      </c>
      <c r="P5" s="6">
        <f t="shared" si="2"/>
        <v>10473</v>
      </c>
    </row>
    <row r="6" spans="1:16" s="2" customFormat="1" ht="12.75">
      <c r="A6" s="1"/>
      <c r="B6" s="5" t="s">
        <v>4</v>
      </c>
      <c r="C6" s="6">
        <f aca="true" t="shared" si="3" ref="C6:P6">SUM(C4:C5)</f>
        <v>27949</v>
      </c>
      <c r="D6" s="6">
        <f t="shared" si="3"/>
        <v>14965</v>
      </c>
      <c r="E6" s="6">
        <f t="shared" si="3"/>
        <v>14666</v>
      </c>
      <c r="F6" s="6">
        <f t="shared" si="3"/>
        <v>14368</v>
      </c>
      <c r="G6" s="6">
        <f t="shared" si="3"/>
        <v>14074</v>
      </c>
      <c r="H6" s="6">
        <f t="shared" si="3"/>
        <v>13778</v>
      </c>
      <c r="I6" s="6">
        <f t="shared" si="3"/>
        <v>13487</v>
      </c>
      <c r="J6" s="6">
        <f t="shared" si="3"/>
        <v>13208</v>
      </c>
      <c r="K6" s="6">
        <f t="shared" si="3"/>
        <v>12939</v>
      </c>
      <c r="L6" s="6">
        <f t="shared" si="3"/>
        <v>12680</v>
      </c>
      <c r="M6" s="7">
        <f t="shared" si="3"/>
        <v>12433</v>
      </c>
      <c r="N6" s="6">
        <f t="shared" si="3"/>
        <v>12231</v>
      </c>
      <c r="O6" s="6">
        <f t="shared" si="3"/>
        <v>12079</v>
      </c>
      <c r="P6" s="6">
        <f t="shared" si="3"/>
        <v>11980</v>
      </c>
    </row>
    <row r="7" spans="1:16" s="2" customFormat="1" ht="12.75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</row>
    <row r="8" spans="1:16" s="2" customFormat="1" ht="12.75">
      <c r="A8" s="1"/>
      <c r="B8" s="5" t="s">
        <v>5</v>
      </c>
      <c r="C8" s="6">
        <v>5204</v>
      </c>
      <c r="D8" s="6">
        <v>4894</v>
      </c>
      <c r="E8" s="6">
        <v>4519</v>
      </c>
      <c r="F8" s="6">
        <v>3798</v>
      </c>
      <c r="G8" s="6">
        <v>2982</v>
      </c>
      <c r="H8" s="6">
        <v>2582</v>
      </c>
      <c r="I8" s="6">
        <v>1857</v>
      </c>
      <c r="J8" s="6">
        <v>0</v>
      </c>
      <c r="K8" s="6">
        <v>0</v>
      </c>
      <c r="L8" s="6">
        <v>0</v>
      </c>
      <c r="M8" s="7">
        <v>0</v>
      </c>
      <c r="N8" s="6">
        <v>0</v>
      </c>
      <c r="O8" s="6">
        <v>0</v>
      </c>
      <c r="P8" s="6">
        <v>0</v>
      </c>
    </row>
    <row r="9" spans="1:16" s="2" customFormat="1" ht="12.75">
      <c r="A9" s="1"/>
      <c r="B9" s="5" t="s">
        <v>6</v>
      </c>
      <c r="C9" s="6">
        <v>18000</v>
      </c>
      <c r="D9" s="6">
        <f>3000+3292</f>
        <v>6292</v>
      </c>
      <c r="E9" s="6">
        <v>6075</v>
      </c>
      <c r="F9" s="6">
        <v>5878</v>
      </c>
      <c r="G9" s="6">
        <v>5413</v>
      </c>
      <c r="H9" s="6">
        <v>4221</v>
      </c>
      <c r="I9" s="6">
        <v>3000</v>
      </c>
      <c r="J9" s="6">
        <v>2515</v>
      </c>
      <c r="K9" s="6">
        <v>0</v>
      </c>
      <c r="L9" s="6">
        <v>0</v>
      </c>
      <c r="M9" s="7">
        <v>0</v>
      </c>
      <c r="N9" s="6">
        <v>0</v>
      </c>
      <c r="O9" s="6">
        <v>0</v>
      </c>
      <c r="P9" s="6">
        <v>0</v>
      </c>
    </row>
    <row r="10" spans="1:16" s="2" customFormat="1" ht="12.75">
      <c r="A10" s="1"/>
      <c r="B10" s="5" t="s">
        <v>7</v>
      </c>
      <c r="C10" s="6">
        <v>1374</v>
      </c>
      <c r="D10" s="6">
        <f aca="true" t="shared" si="4" ref="D10:J11">C10*1.188</f>
        <v>1632.312</v>
      </c>
      <c r="E10" s="6">
        <f t="shared" si="4"/>
        <v>1939.1866559999999</v>
      </c>
      <c r="F10" s="6">
        <f t="shared" si="4"/>
        <v>2303.753747328</v>
      </c>
      <c r="G10" s="6">
        <f t="shared" si="4"/>
        <v>2736.8594518256637</v>
      </c>
      <c r="H10" s="6">
        <f t="shared" si="4"/>
        <v>3251.3890287688882</v>
      </c>
      <c r="I10" s="6">
        <f t="shared" si="4"/>
        <v>3862.650166177439</v>
      </c>
      <c r="J10" s="6">
        <f t="shared" si="4"/>
        <v>4588.828397418797</v>
      </c>
      <c r="K10" s="6">
        <v>5170</v>
      </c>
      <c r="L10" s="6">
        <v>2811</v>
      </c>
      <c r="M10" s="7">
        <v>0</v>
      </c>
      <c r="N10" s="6">
        <v>0</v>
      </c>
      <c r="O10" s="6">
        <v>0</v>
      </c>
      <c r="P10" s="6">
        <v>0</v>
      </c>
    </row>
    <row r="11" spans="1:16" s="2" customFormat="1" ht="12.75">
      <c r="A11" s="1"/>
      <c r="B11" s="5" t="s">
        <v>8</v>
      </c>
      <c r="C11" s="6">
        <v>871</v>
      </c>
      <c r="D11" s="6">
        <f t="shared" si="4"/>
        <v>1034.748</v>
      </c>
      <c r="E11" s="6">
        <f t="shared" si="4"/>
        <v>1229.280624</v>
      </c>
      <c r="F11" s="6">
        <f t="shared" si="4"/>
        <v>1460.385381312</v>
      </c>
      <c r="G11" s="6">
        <f t="shared" si="4"/>
        <v>1734.937832998656</v>
      </c>
      <c r="H11" s="6">
        <f t="shared" si="4"/>
        <v>2061.106145602403</v>
      </c>
      <c r="I11" s="6">
        <f t="shared" si="4"/>
        <v>2448.594100975655</v>
      </c>
      <c r="J11" s="6">
        <f t="shared" si="4"/>
        <v>2908.9297919590776</v>
      </c>
      <c r="K11" s="6">
        <f>J11*1.188</f>
        <v>3455.8085928473843</v>
      </c>
      <c r="L11" s="6">
        <f>K11*1.188</f>
        <v>4105.500608302692</v>
      </c>
      <c r="M11" s="7">
        <v>4552</v>
      </c>
      <c r="N11" s="6">
        <f>4552-3004</f>
        <v>1548</v>
      </c>
      <c r="O11" s="6">
        <v>0</v>
      </c>
      <c r="P11" s="6">
        <v>0</v>
      </c>
    </row>
    <row r="12" spans="1:16" s="2" customFormat="1" ht="12.75">
      <c r="A12" s="1"/>
      <c r="B12" s="5" t="s">
        <v>9</v>
      </c>
      <c r="C12" s="6">
        <v>2500</v>
      </c>
      <c r="D12" s="6">
        <f>C12+D33-D43</f>
        <v>1111.9399999999996</v>
      </c>
      <c r="E12" s="6">
        <f>D12+E33-E43</f>
        <v>903.5327199999997</v>
      </c>
      <c r="F12" s="6">
        <f>E12+F33-F43</f>
        <v>927.8608713599997</v>
      </c>
      <c r="G12" s="6">
        <f>F12+G33-G43</f>
        <v>1207.2027151756802</v>
      </c>
      <c r="H12" s="6">
        <f>G12+H33-H43</f>
        <v>1662.5048256287087</v>
      </c>
      <c r="I12" s="6">
        <f aca="true" t="shared" si="5" ref="I12:P12">H12+I33-I43</f>
        <v>2318.755732846906</v>
      </c>
      <c r="J12" s="6">
        <f t="shared" si="5"/>
        <v>3195.241810622125</v>
      </c>
      <c r="K12" s="6">
        <f t="shared" si="5"/>
        <v>4313.191407152615</v>
      </c>
      <c r="L12" s="6">
        <f t="shared" si="5"/>
        <v>5763.499391697307</v>
      </c>
      <c r="M12" s="7">
        <f t="shared" si="5"/>
        <v>7880.999999999999</v>
      </c>
      <c r="N12" s="6">
        <f t="shared" si="5"/>
        <v>10682.999999999998</v>
      </c>
      <c r="O12" s="6">
        <f t="shared" si="5"/>
        <v>12078.999999999998</v>
      </c>
      <c r="P12" s="6">
        <f t="shared" si="5"/>
        <v>11979.999999999996</v>
      </c>
    </row>
    <row r="13" spans="1:16" s="10" customFormat="1" ht="12.75">
      <c r="A13" s="1"/>
      <c r="B13" s="8" t="s">
        <v>10</v>
      </c>
      <c r="C13" s="9">
        <f aca="true" t="shared" si="6" ref="C13:P13">SUM(C8:C12)</f>
        <v>27949</v>
      </c>
      <c r="D13" s="9">
        <f t="shared" si="6"/>
        <v>14965</v>
      </c>
      <c r="E13" s="9">
        <f t="shared" si="6"/>
        <v>14666</v>
      </c>
      <c r="F13" s="9">
        <f t="shared" si="6"/>
        <v>14368</v>
      </c>
      <c r="G13" s="9">
        <f t="shared" si="6"/>
        <v>14074</v>
      </c>
      <c r="H13" s="9">
        <f t="shared" si="6"/>
        <v>13778</v>
      </c>
      <c r="I13" s="9">
        <f t="shared" si="6"/>
        <v>13487</v>
      </c>
      <c r="J13" s="9">
        <f t="shared" si="6"/>
        <v>13208</v>
      </c>
      <c r="K13" s="9">
        <f t="shared" si="6"/>
        <v>12939</v>
      </c>
      <c r="L13" s="9">
        <f t="shared" si="6"/>
        <v>12680</v>
      </c>
      <c r="M13" s="9">
        <f t="shared" si="6"/>
        <v>12433</v>
      </c>
      <c r="N13" s="9">
        <f t="shared" si="6"/>
        <v>12230.999999999998</v>
      </c>
      <c r="O13" s="9">
        <f t="shared" si="6"/>
        <v>12078.999999999998</v>
      </c>
      <c r="P13" s="9">
        <f t="shared" si="6"/>
        <v>11979.999999999996</v>
      </c>
    </row>
    <row r="14" spans="2:16" s="1" customFormat="1" ht="12.75"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3" s="2" customFormat="1" ht="12.75">
      <c r="A15" s="1"/>
      <c r="C15" s="12"/>
      <c r="D15" s="2">
        <v>1989</v>
      </c>
      <c r="E15" s="12"/>
      <c r="F15" s="12"/>
      <c r="G15" s="12"/>
      <c r="M15" s="1"/>
    </row>
    <row r="16" spans="1:13" s="2" customFormat="1" ht="12.75">
      <c r="A16" s="1"/>
      <c r="B16" s="2" t="s">
        <v>11</v>
      </c>
      <c r="C16" s="12"/>
      <c r="D16" s="12">
        <v>12680</v>
      </c>
      <c r="E16" s="12"/>
      <c r="F16" s="6"/>
      <c r="G16" s="6"/>
      <c r="M16" s="1"/>
    </row>
    <row r="17" spans="1:13" s="2" customFormat="1" ht="12.75">
      <c r="A17" s="1"/>
      <c r="B17" s="5" t="s">
        <v>12</v>
      </c>
      <c r="C17" s="6"/>
      <c r="D17" s="6">
        <v>12680</v>
      </c>
      <c r="E17" s="6"/>
      <c r="F17" s="12"/>
      <c r="G17" s="6"/>
      <c r="M17" s="1"/>
    </row>
    <row r="18" spans="1:13" s="2" customFormat="1" ht="12.75">
      <c r="A18" s="1"/>
      <c r="B18" s="5" t="s">
        <v>13</v>
      </c>
      <c r="C18" s="6"/>
      <c r="D18" s="6">
        <f>INT((D16-D17)*0.34)</f>
        <v>0</v>
      </c>
      <c r="E18" s="6"/>
      <c r="F18" s="12"/>
      <c r="G18" s="12"/>
      <c r="M18" s="1"/>
    </row>
    <row r="19" spans="1:13" s="2" customFormat="1" ht="12.75">
      <c r="A19" s="1"/>
      <c r="B19" s="5" t="s">
        <v>14</v>
      </c>
      <c r="C19" s="6"/>
      <c r="D19" s="6">
        <f>D16-D18</f>
        <v>12680</v>
      </c>
      <c r="E19" s="6"/>
      <c r="F19" s="12"/>
      <c r="G19" s="6"/>
      <c r="M19" s="1"/>
    </row>
    <row r="20" spans="1:13" s="2" customFormat="1" ht="12.75">
      <c r="A20" s="1"/>
      <c r="B20" s="2" t="s">
        <v>15</v>
      </c>
      <c r="C20" s="12"/>
      <c r="D20" s="12">
        <f>D16-D17-D18</f>
        <v>0</v>
      </c>
      <c r="E20" s="12"/>
      <c r="F20" s="12"/>
      <c r="G20" s="12"/>
      <c r="H20" s="12"/>
      <c r="M20" s="1"/>
    </row>
    <row r="21" spans="1:13" s="2" customFormat="1" ht="12.75">
      <c r="A21" s="1"/>
      <c r="C21" s="12"/>
      <c r="D21" s="12"/>
      <c r="E21" s="12"/>
      <c r="F21" s="12"/>
      <c r="G21" s="12"/>
      <c r="M21" s="1"/>
    </row>
    <row r="22" spans="1:16" s="2" customFormat="1" ht="12" customHeight="1">
      <c r="A22" s="1"/>
      <c r="B22" s="2" t="s">
        <v>16</v>
      </c>
      <c r="G22" s="5"/>
      <c r="H22" s="5"/>
      <c r="I22" s="5"/>
      <c r="J22" s="5"/>
      <c r="K22" s="5"/>
      <c r="L22" s="5"/>
      <c r="M22" s="11"/>
      <c r="N22" s="5"/>
      <c r="O22" s="5"/>
      <c r="P22" s="5"/>
    </row>
    <row r="23" spans="1:16" s="2" customFormat="1" ht="12" customHeight="1">
      <c r="A23" s="1"/>
      <c r="G23" s="5"/>
      <c r="H23" s="5"/>
      <c r="I23" s="5"/>
      <c r="J23" s="5"/>
      <c r="K23" s="5"/>
      <c r="L23" s="5"/>
      <c r="M23" s="11"/>
      <c r="N23" s="5"/>
      <c r="O23" s="5"/>
      <c r="P23" s="5"/>
    </row>
    <row r="24" spans="1:16" s="2" customFormat="1" ht="12.75">
      <c r="A24" s="1"/>
      <c r="B24" s="4" t="s">
        <v>1</v>
      </c>
      <c r="C24" s="2">
        <v>1988</v>
      </c>
      <c r="D24" s="2">
        <f aca="true" t="shared" si="7" ref="D24:P24">C24+1</f>
        <v>1989</v>
      </c>
      <c r="E24" s="2">
        <f t="shared" si="7"/>
        <v>1990</v>
      </c>
      <c r="F24" s="2">
        <f t="shared" si="7"/>
        <v>1991</v>
      </c>
      <c r="G24" s="2">
        <f t="shared" si="7"/>
        <v>1992</v>
      </c>
      <c r="H24" s="2">
        <f t="shared" si="7"/>
        <v>1993</v>
      </c>
      <c r="I24" s="2">
        <f t="shared" si="7"/>
        <v>1994</v>
      </c>
      <c r="J24" s="2">
        <f t="shared" si="7"/>
        <v>1995</v>
      </c>
      <c r="K24" s="2">
        <f t="shared" si="7"/>
        <v>1996</v>
      </c>
      <c r="L24" s="2">
        <f t="shared" si="7"/>
        <v>1997</v>
      </c>
      <c r="M24" s="1">
        <f t="shared" si="7"/>
        <v>1998</v>
      </c>
      <c r="N24" s="2">
        <f t="shared" si="7"/>
        <v>1999</v>
      </c>
      <c r="O24" s="2">
        <f t="shared" si="7"/>
        <v>2000</v>
      </c>
      <c r="P24" s="2">
        <f t="shared" si="7"/>
        <v>2001</v>
      </c>
    </row>
    <row r="25" spans="1:16" ht="10.5" customHeight="1">
      <c r="A25" s="11">
        <v>1</v>
      </c>
      <c r="B25" s="2" t="s">
        <v>17</v>
      </c>
      <c r="C25" s="6">
        <v>16950</v>
      </c>
      <c r="D25" s="6">
        <v>7650</v>
      </c>
      <c r="E25" s="6">
        <v>8293</v>
      </c>
      <c r="F25" s="6">
        <v>8983</v>
      </c>
      <c r="G25" s="6">
        <v>9731</v>
      </c>
      <c r="H25" s="6">
        <v>10540</v>
      </c>
      <c r="I25" s="6">
        <v>11418</v>
      </c>
      <c r="J25" s="6">
        <v>12368</v>
      </c>
      <c r="K25" s="6">
        <v>13397</v>
      </c>
      <c r="L25" s="6">
        <v>14514</v>
      </c>
      <c r="M25" s="7">
        <v>15723</v>
      </c>
      <c r="N25" s="6">
        <f>M25*1.083</f>
        <v>17028.009</v>
      </c>
      <c r="O25" s="6">
        <f>N25*1.083</f>
        <v>18441.333746999997</v>
      </c>
      <c r="P25" s="6">
        <f>O25*1.083</f>
        <v>19971.964448000996</v>
      </c>
    </row>
    <row r="26" spans="1:16" s="8" customFormat="1" ht="10.5" customHeight="1">
      <c r="A26" s="11">
        <v>2</v>
      </c>
      <c r="B26" s="11" t="s">
        <v>18</v>
      </c>
      <c r="C26" s="7">
        <v>2653</v>
      </c>
      <c r="D26" s="7">
        <v>1917</v>
      </c>
      <c r="E26" s="7">
        <v>2385</v>
      </c>
      <c r="F26" s="7">
        <v>2814</v>
      </c>
      <c r="G26" s="7">
        <v>3266</v>
      </c>
      <c r="H26" s="7">
        <v>3589</v>
      </c>
      <c r="I26" s="7">
        <v>3945</v>
      </c>
      <c r="J26" s="7">
        <v>4337</v>
      </c>
      <c r="K26" s="7">
        <v>4768</v>
      </c>
      <c r="L26" s="7">
        <v>5243</v>
      </c>
      <c r="M26" s="7">
        <v>5766</v>
      </c>
      <c r="N26" s="7">
        <f>N25*0.36</f>
        <v>6130.083239999999</v>
      </c>
      <c r="O26" s="7">
        <f>O25*0.36</f>
        <v>6638.880148919999</v>
      </c>
      <c r="P26" s="7">
        <f>P25*0.36</f>
        <v>7189.907201280358</v>
      </c>
    </row>
    <row r="27" spans="1:16" ht="12.75">
      <c r="A27" s="11">
        <v>3</v>
      </c>
      <c r="B27" s="5" t="s">
        <v>19</v>
      </c>
      <c r="C27" s="5">
        <v>551</v>
      </c>
      <c r="D27" s="6">
        <v>2792</v>
      </c>
      <c r="E27" s="6">
        <v>1353</v>
      </c>
      <c r="F27" s="6">
        <v>1286</v>
      </c>
      <c r="G27" s="6">
        <v>1183</v>
      </c>
      <c r="H27" s="6">
        <v>1037</v>
      </c>
      <c r="I27" s="5">
        <v>850</v>
      </c>
      <c r="J27" s="5">
        <v>624</v>
      </c>
      <c r="K27" s="5">
        <v>351</v>
      </c>
      <c r="L27" s="5">
        <v>0</v>
      </c>
      <c r="M27" s="11">
        <v>0</v>
      </c>
      <c r="N27" s="5">
        <v>0</v>
      </c>
      <c r="O27" s="5">
        <v>0</v>
      </c>
      <c r="P27" s="5">
        <v>0</v>
      </c>
    </row>
    <row r="28" spans="1:16" ht="12.75">
      <c r="A28" s="11">
        <v>4</v>
      </c>
      <c r="B28" s="5" t="s">
        <v>20</v>
      </c>
      <c r="C28" s="6">
        <f aca="true" t="shared" si="8" ref="C28:P28">(C26-C27)*0.34</f>
        <v>714.6800000000001</v>
      </c>
      <c r="D28" s="6">
        <f t="shared" si="8"/>
        <v>-297.5</v>
      </c>
      <c r="E28" s="6">
        <f t="shared" si="8"/>
        <v>350.88000000000005</v>
      </c>
      <c r="F28" s="6">
        <f t="shared" si="8"/>
        <v>519.52</v>
      </c>
      <c r="G28" s="6">
        <f t="shared" si="8"/>
        <v>708.22</v>
      </c>
      <c r="H28" s="6">
        <f t="shared" si="8"/>
        <v>867.6800000000001</v>
      </c>
      <c r="I28" s="6">
        <f t="shared" si="8"/>
        <v>1052.3000000000002</v>
      </c>
      <c r="J28" s="6">
        <f t="shared" si="8"/>
        <v>1262.42</v>
      </c>
      <c r="K28" s="6">
        <f t="shared" si="8"/>
        <v>1501.7800000000002</v>
      </c>
      <c r="L28" s="6">
        <f t="shared" si="8"/>
        <v>1782.6200000000001</v>
      </c>
      <c r="M28" s="7">
        <f t="shared" si="8"/>
        <v>1960.44</v>
      </c>
      <c r="N28" s="6">
        <f t="shared" si="8"/>
        <v>2084.2283015999997</v>
      </c>
      <c r="O28" s="6">
        <f t="shared" si="8"/>
        <v>2257.2192506327997</v>
      </c>
      <c r="P28" s="6">
        <f t="shared" si="8"/>
        <v>2444.568448435322</v>
      </c>
    </row>
    <row r="29" spans="1:16" ht="12.75">
      <c r="A29" s="11">
        <v>5</v>
      </c>
      <c r="B29" s="5" t="s">
        <v>21</v>
      </c>
      <c r="C29" s="6"/>
      <c r="D29" s="6">
        <v>388</v>
      </c>
      <c r="E29" s="6">
        <v>388</v>
      </c>
      <c r="F29" s="6">
        <v>388</v>
      </c>
      <c r="G29" s="6">
        <v>388</v>
      </c>
      <c r="H29" s="6">
        <v>388</v>
      </c>
      <c r="I29" s="6">
        <v>388</v>
      </c>
      <c r="J29" s="6">
        <v>388</v>
      </c>
      <c r="K29" s="6">
        <v>388</v>
      </c>
      <c r="L29" s="6">
        <v>388</v>
      </c>
      <c r="M29" s="7">
        <v>388</v>
      </c>
      <c r="N29" s="6">
        <v>388</v>
      </c>
      <c r="O29" s="6">
        <v>388</v>
      </c>
      <c r="P29" s="6">
        <v>388</v>
      </c>
    </row>
    <row r="30" spans="1:16" s="8" customFormat="1" ht="12.75">
      <c r="A30" s="11">
        <v>6</v>
      </c>
      <c r="B30" s="10" t="s">
        <v>22</v>
      </c>
      <c r="C30" s="13">
        <v>1360</v>
      </c>
      <c r="D30" s="13">
        <f>INT(D26-D27-D28-D29)</f>
        <v>-966</v>
      </c>
      <c r="E30" s="13">
        <f aca="true" t="shared" si="9" ref="E30:P30">E26-E27-E28-E29</f>
        <v>293.1199999999999</v>
      </c>
      <c r="F30" s="13">
        <f t="shared" si="9"/>
        <v>620.48</v>
      </c>
      <c r="G30" s="13">
        <f t="shared" si="9"/>
        <v>986.78</v>
      </c>
      <c r="H30" s="13">
        <f t="shared" si="9"/>
        <v>1296.32</v>
      </c>
      <c r="I30" s="13">
        <f t="shared" si="9"/>
        <v>1654.6999999999998</v>
      </c>
      <c r="J30" s="13">
        <f t="shared" si="9"/>
        <v>2062.58</v>
      </c>
      <c r="K30" s="13">
        <f t="shared" si="9"/>
        <v>2527.22</v>
      </c>
      <c r="L30" s="13">
        <f t="shared" si="9"/>
        <v>3072.38</v>
      </c>
      <c r="M30" s="13">
        <f t="shared" si="9"/>
        <v>3417.56</v>
      </c>
      <c r="N30" s="13">
        <f t="shared" si="9"/>
        <v>3657.8549383999994</v>
      </c>
      <c r="O30" s="13">
        <f t="shared" si="9"/>
        <v>3993.6608982871985</v>
      </c>
      <c r="P30" s="13">
        <f t="shared" si="9"/>
        <v>4357.338752845037</v>
      </c>
    </row>
    <row r="31" spans="1:16" ht="12.75">
      <c r="A31" s="11">
        <v>7</v>
      </c>
      <c r="B31" s="11" t="s">
        <v>23</v>
      </c>
      <c r="C31" s="7"/>
      <c r="D31" s="7">
        <f aca="true" t="shared" si="10" ref="D31:I31">D11-C11+D10-C10</f>
        <v>422.05999999999995</v>
      </c>
      <c r="E31" s="7">
        <f t="shared" si="10"/>
        <v>501.4072799999999</v>
      </c>
      <c r="F31" s="7">
        <f t="shared" si="10"/>
        <v>595.67184864</v>
      </c>
      <c r="G31" s="7">
        <f t="shared" si="10"/>
        <v>707.6581561843195</v>
      </c>
      <c r="H31" s="7">
        <f t="shared" si="10"/>
        <v>840.6978895469715</v>
      </c>
      <c r="I31" s="7">
        <f t="shared" si="10"/>
        <v>998.7490927818026</v>
      </c>
      <c r="J31" s="7">
        <f aca="true" t="shared" si="11" ref="J31:P31">(I10+I11)*0.188</f>
        <v>1186.5139222247815</v>
      </c>
      <c r="K31" s="7">
        <f t="shared" si="11"/>
        <v>1409.5785396030406</v>
      </c>
      <c r="L31" s="7">
        <f t="shared" si="11"/>
        <v>1621.6520154553084</v>
      </c>
      <c r="M31" s="7">
        <f t="shared" si="11"/>
        <v>1300.302114360906</v>
      </c>
      <c r="N31" s="7">
        <f t="shared" si="11"/>
        <v>855.776</v>
      </c>
      <c r="O31" s="7">
        <f t="shared" si="11"/>
        <v>291.024</v>
      </c>
      <c r="P31" s="7">
        <f t="shared" si="11"/>
        <v>0</v>
      </c>
    </row>
    <row r="32" spans="1:16" ht="12.75">
      <c r="A32" s="11">
        <v>8</v>
      </c>
      <c r="B32" s="11" t="s">
        <v>24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12.75">
      <c r="A33" s="11">
        <f aca="true" t="shared" si="12" ref="A33:A48">A32+1</f>
        <v>9</v>
      </c>
      <c r="B33" s="8" t="s">
        <v>25</v>
      </c>
      <c r="C33" s="13"/>
      <c r="D33" s="13">
        <f>D30-D31+D32</f>
        <v>-1388.06</v>
      </c>
      <c r="E33" s="13">
        <f>E30-E31+E32</f>
        <v>-208.28728</v>
      </c>
      <c r="F33" s="13">
        <f aca="true" t="shared" si="13" ref="F33:P33">F30-F31</f>
        <v>24.80815136000001</v>
      </c>
      <c r="G33" s="13">
        <f t="shared" si="13"/>
        <v>279.12184381568045</v>
      </c>
      <c r="H33" s="13">
        <f t="shared" si="13"/>
        <v>455.6221104530284</v>
      </c>
      <c r="I33" s="13">
        <f t="shared" si="13"/>
        <v>655.9509072181972</v>
      </c>
      <c r="J33" s="13">
        <f t="shared" si="13"/>
        <v>876.0660777752184</v>
      </c>
      <c r="K33" s="13">
        <f t="shared" si="13"/>
        <v>1117.6414603969592</v>
      </c>
      <c r="L33" s="13">
        <f t="shared" si="13"/>
        <v>1450.7279845446917</v>
      </c>
      <c r="M33" s="13">
        <f t="shared" si="13"/>
        <v>2117.2578856390937</v>
      </c>
      <c r="N33" s="13">
        <f t="shared" si="13"/>
        <v>2802.0789383999995</v>
      </c>
      <c r="O33" s="13">
        <f t="shared" si="13"/>
        <v>3702.6368982871986</v>
      </c>
      <c r="P33" s="13">
        <f t="shared" si="13"/>
        <v>4357.338752845037</v>
      </c>
    </row>
    <row r="34" spans="1:16" ht="12.75">
      <c r="A34" s="11">
        <f t="shared" si="12"/>
        <v>10</v>
      </c>
      <c r="B34" s="5" t="s">
        <v>26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6"/>
    </row>
    <row r="35" spans="2:16" ht="12.75">
      <c r="B35" s="5" t="s">
        <v>27</v>
      </c>
      <c r="C35" s="5">
        <v>730</v>
      </c>
      <c r="D35" s="5">
        <v>777</v>
      </c>
      <c r="E35" s="5">
        <v>725</v>
      </c>
      <c r="F35" s="5">
        <v>726</v>
      </c>
      <c r="G35" s="5">
        <v>735</v>
      </c>
      <c r="H35" s="5">
        <v>749</v>
      </c>
      <c r="I35" s="5">
        <v>754</v>
      </c>
      <c r="J35" s="5">
        <v>758</v>
      </c>
      <c r="K35" s="5">
        <v>763</v>
      </c>
      <c r="L35" s="5">
        <v>769</v>
      </c>
      <c r="M35" s="11">
        <v>774</v>
      </c>
      <c r="N35" s="5">
        <v>774</v>
      </c>
      <c r="O35" s="5">
        <v>774</v>
      </c>
      <c r="P35" s="5">
        <v>774</v>
      </c>
    </row>
    <row r="36" spans="1:16" ht="12.75">
      <c r="A36" s="11">
        <v>11</v>
      </c>
      <c r="B36" s="5" t="s">
        <v>28</v>
      </c>
      <c r="C36" s="6">
        <v>1142</v>
      </c>
      <c r="D36" s="5">
        <v>432</v>
      </c>
      <c r="E36" s="5">
        <v>381</v>
      </c>
      <c r="F36" s="5">
        <v>380</v>
      </c>
      <c r="G36" s="5">
        <v>389</v>
      </c>
      <c r="H36" s="5">
        <v>396</v>
      </c>
      <c r="I36" s="5">
        <v>402</v>
      </c>
      <c r="J36" s="5">
        <v>412</v>
      </c>
      <c r="K36" s="5">
        <v>422</v>
      </c>
      <c r="L36" s="5">
        <v>432</v>
      </c>
      <c r="M36" s="11">
        <v>442</v>
      </c>
      <c r="N36" s="5">
        <f aca="true" t="shared" si="14" ref="N36:P37">INT(M36*1.088)</f>
        <v>480</v>
      </c>
      <c r="O36" s="5">
        <f t="shared" si="14"/>
        <v>522</v>
      </c>
      <c r="P36" s="5">
        <f t="shared" si="14"/>
        <v>567</v>
      </c>
    </row>
    <row r="37" spans="1:16" ht="12.75">
      <c r="A37" s="11">
        <f t="shared" si="12"/>
        <v>12</v>
      </c>
      <c r="B37" s="5" t="s">
        <v>29</v>
      </c>
      <c r="C37" s="6"/>
      <c r="D37" s="5">
        <v>41</v>
      </c>
      <c r="E37" s="5">
        <v>45</v>
      </c>
      <c r="F37" s="5">
        <v>48</v>
      </c>
      <c r="G37" s="5">
        <v>52</v>
      </c>
      <c r="H37" s="5">
        <v>57</v>
      </c>
      <c r="I37" s="5">
        <v>61</v>
      </c>
      <c r="J37" s="5">
        <v>67</v>
      </c>
      <c r="K37" s="5">
        <v>72</v>
      </c>
      <c r="L37" s="5">
        <v>78</v>
      </c>
      <c r="M37" s="11">
        <v>85</v>
      </c>
      <c r="N37" s="5">
        <f t="shared" si="14"/>
        <v>92</v>
      </c>
      <c r="O37" s="5">
        <f t="shared" si="14"/>
        <v>100</v>
      </c>
      <c r="P37" s="5">
        <f t="shared" si="14"/>
        <v>108</v>
      </c>
    </row>
    <row r="38" spans="1:16" ht="12.75">
      <c r="A38" s="11">
        <f t="shared" si="12"/>
        <v>13</v>
      </c>
      <c r="B38" s="5" t="s">
        <v>30</v>
      </c>
      <c r="C38" s="6"/>
      <c r="D38" s="6">
        <f>D17</f>
        <v>12680</v>
      </c>
      <c r="E38" s="6"/>
      <c r="F38" s="6"/>
      <c r="G38" s="6"/>
      <c r="H38" s="6"/>
      <c r="I38" s="6"/>
      <c r="J38" s="6"/>
      <c r="K38" s="6"/>
      <c r="L38" s="6"/>
      <c r="M38" s="7"/>
      <c r="N38" s="6"/>
      <c r="O38" s="6"/>
      <c r="P38" s="6"/>
    </row>
    <row r="39" spans="1:16" ht="12.75">
      <c r="A39" s="11">
        <f t="shared" si="12"/>
        <v>14</v>
      </c>
      <c r="B39" s="5" t="s">
        <v>31</v>
      </c>
      <c r="C39" s="6"/>
      <c r="D39" s="6">
        <f aca="true" t="shared" si="15" ref="D39:P39">D8+D9-C8-C9</f>
        <v>-12018</v>
      </c>
      <c r="E39" s="6">
        <f t="shared" si="15"/>
        <v>-592</v>
      </c>
      <c r="F39" s="6">
        <f t="shared" si="15"/>
        <v>-918</v>
      </c>
      <c r="G39" s="6">
        <f t="shared" si="15"/>
        <v>-1281</v>
      </c>
      <c r="H39" s="6">
        <f t="shared" si="15"/>
        <v>-1592</v>
      </c>
      <c r="I39" s="6">
        <f t="shared" si="15"/>
        <v>-1946</v>
      </c>
      <c r="J39" s="6">
        <f t="shared" si="15"/>
        <v>-2342</v>
      </c>
      <c r="K39" s="6">
        <f t="shared" si="15"/>
        <v>-2515</v>
      </c>
      <c r="L39" s="6">
        <f t="shared" si="15"/>
        <v>0</v>
      </c>
      <c r="M39" s="7">
        <f t="shared" si="15"/>
        <v>0</v>
      </c>
      <c r="N39" s="6">
        <f t="shared" si="15"/>
        <v>0</v>
      </c>
      <c r="O39" s="6">
        <f t="shared" si="15"/>
        <v>0</v>
      </c>
      <c r="P39" s="6">
        <f t="shared" si="15"/>
        <v>0</v>
      </c>
    </row>
    <row r="40" spans="1:16" ht="12.75">
      <c r="A40" s="11">
        <f t="shared" si="12"/>
        <v>15</v>
      </c>
      <c r="B40" s="11" t="s">
        <v>32</v>
      </c>
      <c r="C40" s="6"/>
      <c r="D40" s="6">
        <f aca="true" t="shared" si="16" ref="D40:P40">D31</f>
        <v>422.05999999999995</v>
      </c>
      <c r="E40" s="6">
        <f t="shared" si="16"/>
        <v>501.4072799999999</v>
      </c>
      <c r="F40" s="6">
        <f t="shared" si="16"/>
        <v>595.67184864</v>
      </c>
      <c r="G40" s="6">
        <f t="shared" si="16"/>
        <v>707.6581561843195</v>
      </c>
      <c r="H40" s="6">
        <f t="shared" si="16"/>
        <v>840.6978895469715</v>
      </c>
      <c r="I40" s="6">
        <f t="shared" si="16"/>
        <v>998.7490927818026</v>
      </c>
      <c r="J40" s="6">
        <f t="shared" si="16"/>
        <v>1186.5139222247815</v>
      </c>
      <c r="K40" s="6">
        <f t="shared" si="16"/>
        <v>1409.5785396030406</v>
      </c>
      <c r="L40" s="6">
        <f t="shared" si="16"/>
        <v>1621.6520154553084</v>
      </c>
      <c r="M40" s="7">
        <f t="shared" si="16"/>
        <v>1300.302114360906</v>
      </c>
      <c r="N40" s="6">
        <f t="shared" si="16"/>
        <v>855.776</v>
      </c>
      <c r="O40" s="6">
        <f t="shared" si="16"/>
        <v>291.024</v>
      </c>
      <c r="P40" s="6">
        <f t="shared" si="16"/>
        <v>0</v>
      </c>
    </row>
    <row r="41" spans="1:16" ht="12.75">
      <c r="A41" s="11">
        <f t="shared" si="12"/>
        <v>16</v>
      </c>
      <c r="B41" s="5" t="s">
        <v>33</v>
      </c>
      <c r="C41" s="6"/>
      <c r="D41" s="6"/>
      <c r="E41" s="6"/>
      <c r="F41" s="6"/>
      <c r="G41" s="6"/>
      <c r="H41" s="6"/>
      <c r="I41" s="6"/>
      <c r="J41" s="6"/>
      <c r="K41" s="6">
        <f aca="true" t="shared" si="17" ref="K41:P41">K10-J10*1.188</f>
        <v>-281.528136133531</v>
      </c>
      <c r="L41" s="6">
        <f t="shared" si="17"/>
        <v>-3330.96</v>
      </c>
      <c r="M41" s="7">
        <f t="shared" si="17"/>
        <v>-3339.468</v>
      </c>
      <c r="N41" s="6">
        <f t="shared" si="17"/>
        <v>0</v>
      </c>
      <c r="O41" s="6">
        <f t="shared" si="17"/>
        <v>0</v>
      </c>
      <c r="P41" s="6">
        <f t="shared" si="17"/>
        <v>0</v>
      </c>
    </row>
    <row r="42" spans="1:16" ht="12.75">
      <c r="A42" s="11">
        <f t="shared" si="12"/>
        <v>17</v>
      </c>
      <c r="B42" s="5" t="s">
        <v>34</v>
      </c>
      <c r="C42" s="6"/>
      <c r="D42" s="6"/>
      <c r="E42" s="6"/>
      <c r="F42" s="6"/>
      <c r="G42" s="6"/>
      <c r="H42" s="6"/>
      <c r="I42" s="6"/>
      <c r="J42" s="6"/>
      <c r="K42" s="6"/>
      <c r="L42" s="6">
        <f>L11-K11*1.188</f>
        <v>0</v>
      </c>
      <c r="M42" s="7">
        <f>M11-L11*1.188</f>
        <v>-325.33472266359786</v>
      </c>
      <c r="N42" s="6">
        <f>N11-M11*1.188</f>
        <v>-3859.776</v>
      </c>
      <c r="O42" s="6">
        <f>O11-N11*1.188</f>
        <v>-1839.024</v>
      </c>
      <c r="P42" s="6">
        <f>P11-O11*1.188</f>
        <v>0</v>
      </c>
    </row>
    <row r="43" spans="1:16" s="10" customFormat="1" ht="12.75">
      <c r="A43" s="11">
        <f t="shared" si="12"/>
        <v>18</v>
      </c>
      <c r="B43" s="10" t="s">
        <v>35</v>
      </c>
      <c r="C43" s="13"/>
      <c r="D43" s="13">
        <f aca="true" t="shared" si="18" ref="D43:P43">D33+D35-D36-D37+D38+D39+D40+D41+D42</f>
        <v>4.547473508864641E-13</v>
      </c>
      <c r="E43" s="13">
        <f t="shared" si="18"/>
        <v>0.11999999999989086</v>
      </c>
      <c r="F43" s="13">
        <f t="shared" si="18"/>
        <v>0.4800000000000182</v>
      </c>
      <c r="G43" s="13">
        <f t="shared" si="18"/>
        <v>-0.22000000000002728</v>
      </c>
      <c r="H43" s="13">
        <f t="shared" si="18"/>
        <v>0.31999999999993634</v>
      </c>
      <c r="I43" s="13">
        <f t="shared" si="18"/>
        <v>-0.3000000000001819</v>
      </c>
      <c r="J43" s="13">
        <f t="shared" si="18"/>
        <v>-0.42000000000007276</v>
      </c>
      <c r="K43" s="13">
        <f t="shared" si="18"/>
        <v>-0.3081361335312067</v>
      </c>
      <c r="L43" s="13">
        <f t="shared" si="18"/>
        <v>0.42000000000007276</v>
      </c>
      <c r="M43" s="13">
        <f t="shared" si="18"/>
        <v>-0.24272266359821515</v>
      </c>
      <c r="N43" s="13">
        <f t="shared" si="18"/>
        <v>0.07893839999951524</v>
      </c>
      <c r="O43" s="13">
        <f t="shared" si="18"/>
        <v>2306.6368982871995</v>
      </c>
      <c r="P43" s="13">
        <f t="shared" si="18"/>
        <v>4456.338752845037</v>
      </c>
    </row>
    <row r="44" spans="1:16" ht="12.75">
      <c r="A44" s="11">
        <f t="shared" si="12"/>
        <v>19</v>
      </c>
      <c r="B44" s="5" t="s">
        <v>36</v>
      </c>
      <c r="C44" s="6"/>
      <c r="D44" s="6">
        <f aca="true" t="shared" si="19" ref="D44:P44">0.66*(D27)</f>
        <v>1842.72</v>
      </c>
      <c r="E44" s="6">
        <f t="shared" si="19"/>
        <v>892.98</v>
      </c>
      <c r="F44" s="6">
        <f t="shared" si="19"/>
        <v>848.76</v>
      </c>
      <c r="G44" s="6">
        <f t="shared" si="19"/>
        <v>780.7800000000001</v>
      </c>
      <c r="H44" s="6">
        <f t="shared" si="19"/>
        <v>684.4200000000001</v>
      </c>
      <c r="I44" s="6">
        <f t="shared" si="19"/>
        <v>561</v>
      </c>
      <c r="J44" s="6">
        <f t="shared" si="19"/>
        <v>411.84000000000003</v>
      </c>
      <c r="K44" s="6">
        <f t="shared" si="19"/>
        <v>231.66000000000003</v>
      </c>
      <c r="L44" s="6">
        <f t="shared" si="19"/>
        <v>0</v>
      </c>
      <c r="M44" s="7">
        <f t="shared" si="19"/>
        <v>0</v>
      </c>
      <c r="N44" s="6">
        <f t="shared" si="19"/>
        <v>0</v>
      </c>
      <c r="O44" s="6">
        <f t="shared" si="19"/>
        <v>0</v>
      </c>
      <c r="P44" s="6">
        <f t="shared" si="19"/>
        <v>0</v>
      </c>
    </row>
    <row r="45" spans="1:16" ht="12.75">
      <c r="A45" s="11">
        <f t="shared" si="12"/>
        <v>20</v>
      </c>
      <c r="B45" s="11" t="s">
        <v>37</v>
      </c>
      <c r="C45" s="7"/>
      <c r="D45" s="7">
        <f aca="true" t="shared" si="20" ref="D45:L45">-D39</f>
        <v>12018</v>
      </c>
      <c r="E45" s="7">
        <f t="shared" si="20"/>
        <v>592</v>
      </c>
      <c r="F45" s="7">
        <f t="shared" si="20"/>
        <v>918</v>
      </c>
      <c r="G45" s="7">
        <f t="shared" si="20"/>
        <v>1281</v>
      </c>
      <c r="H45" s="7">
        <f t="shared" si="20"/>
        <v>1592</v>
      </c>
      <c r="I45" s="7">
        <f t="shared" si="20"/>
        <v>1946</v>
      </c>
      <c r="J45" s="7">
        <f t="shared" si="20"/>
        <v>2342</v>
      </c>
      <c r="K45" s="7">
        <f t="shared" si="20"/>
        <v>2515</v>
      </c>
      <c r="L45" s="7">
        <f t="shared" si="20"/>
        <v>0</v>
      </c>
      <c r="M45" s="7"/>
      <c r="N45" s="7"/>
      <c r="O45" s="7"/>
      <c r="P45" s="7"/>
    </row>
    <row r="46" spans="1:16" ht="12.75">
      <c r="A46" s="11">
        <f t="shared" si="12"/>
        <v>21</v>
      </c>
      <c r="B46" s="5" t="s">
        <v>38</v>
      </c>
      <c r="C46" s="7"/>
      <c r="D46" s="7"/>
      <c r="E46" s="7"/>
      <c r="F46" s="7"/>
      <c r="G46" s="7"/>
      <c r="H46" s="7"/>
      <c r="I46" s="7"/>
      <c r="J46" s="7"/>
      <c r="K46" s="7">
        <f aca="true" t="shared" si="21" ref="K46:P46">-K41</f>
        <v>281.528136133531</v>
      </c>
      <c r="L46" s="7">
        <f t="shared" si="21"/>
        <v>3330.96</v>
      </c>
      <c r="M46" s="7">
        <f t="shared" si="21"/>
        <v>3339.468</v>
      </c>
      <c r="N46" s="7">
        <f t="shared" si="21"/>
        <v>0</v>
      </c>
      <c r="O46" s="7">
        <f t="shared" si="21"/>
        <v>0</v>
      </c>
      <c r="P46" s="7">
        <f t="shared" si="21"/>
        <v>0</v>
      </c>
    </row>
    <row r="47" spans="1:16" ht="12.75">
      <c r="A47" s="11">
        <f t="shared" si="12"/>
        <v>22</v>
      </c>
      <c r="B47" s="5" t="s">
        <v>39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f>-M42</f>
        <v>325.33472266359786</v>
      </c>
      <c r="N47" s="7">
        <f>-N42</f>
        <v>3859.776</v>
      </c>
      <c r="O47" s="7">
        <f>-O42</f>
        <v>1839.024</v>
      </c>
      <c r="P47" s="7">
        <f>-P42</f>
        <v>0</v>
      </c>
    </row>
    <row r="48" spans="1:16" s="10" customFormat="1" ht="12.75">
      <c r="A48" s="11">
        <f t="shared" si="12"/>
        <v>23</v>
      </c>
      <c r="B48" s="10" t="s">
        <v>40</v>
      </c>
      <c r="C48" s="13"/>
      <c r="D48" s="13">
        <f aca="true" t="shared" si="22" ref="D48:P48">D43+D44+D45+D46+D47</f>
        <v>13860.720000000001</v>
      </c>
      <c r="E48" s="13">
        <f t="shared" si="22"/>
        <v>1485.1</v>
      </c>
      <c r="F48" s="13">
        <f t="shared" si="22"/>
        <v>1767.24</v>
      </c>
      <c r="G48" s="13">
        <f t="shared" si="22"/>
        <v>2061.56</v>
      </c>
      <c r="H48" s="13">
        <f t="shared" si="22"/>
        <v>2276.74</v>
      </c>
      <c r="I48" s="13">
        <f t="shared" si="22"/>
        <v>2506.7</v>
      </c>
      <c r="J48" s="13">
        <f t="shared" si="22"/>
        <v>2753.42</v>
      </c>
      <c r="K48" s="13">
        <f t="shared" si="22"/>
        <v>3027.8799999999997</v>
      </c>
      <c r="L48" s="13">
        <f t="shared" si="22"/>
        <v>3331.38</v>
      </c>
      <c r="M48" s="13">
        <f t="shared" si="22"/>
        <v>3664.5599999999995</v>
      </c>
      <c r="N48" s="13">
        <f t="shared" si="22"/>
        <v>3859.8549383999994</v>
      </c>
      <c r="O48" s="13">
        <f t="shared" si="22"/>
        <v>4145.660898287199</v>
      </c>
      <c r="P48" s="13">
        <f t="shared" si="22"/>
        <v>4456.338752845037</v>
      </c>
    </row>
    <row r="49" spans="2:13" ht="12.75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12.75">
      <c r="B50" s="2" t="s">
        <v>53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1:16" s="2" customFormat="1" ht="12.75">
      <c r="A51" s="1"/>
      <c r="B51" s="4" t="s">
        <v>1</v>
      </c>
      <c r="C51" s="2">
        <v>1988</v>
      </c>
      <c r="D51" s="2">
        <f aca="true" t="shared" si="23" ref="D51:P51">C51+1</f>
        <v>1989</v>
      </c>
      <c r="E51" s="2">
        <f t="shared" si="23"/>
        <v>1990</v>
      </c>
      <c r="F51" s="2">
        <f t="shared" si="23"/>
        <v>1991</v>
      </c>
      <c r="G51" s="2">
        <f t="shared" si="23"/>
        <v>1992</v>
      </c>
      <c r="H51" s="2">
        <f t="shared" si="23"/>
        <v>1993</v>
      </c>
      <c r="I51" s="2">
        <f t="shared" si="23"/>
        <v>1994</v>
      </c>
      <c r="J51" s="2">
        <f t="shared" si="23"/>
        <v>1995</v>
      </c>
      <c r="K51" s="2">
        <f t="shared" si="23"/>
        <v>1996</v>
      </c>
      <c r="L51" s="2">
        <f t="shared" si="23"/>
        <v>1997</v>
      </c>
      <c r="M51" s="1">
        <f t="shared" si="23"/>
        <v>1998</v>
      </c>
      <c r="N51" s="2">
        <f t="shared" si="23"/>
        <v>1999</v>
      </c>
      <c r="O51" s="2">
        <f t="shared" si="23"/>
        <v>2000</v>
      </c>
      <c r="P51" s="2">
        <f t="shared" si="23"/>
        <v>2001</v>
      </c>
    </row>
    <row r="52" spans="1:16" s="22" customFormat="1" ht="13.5" customHeight="1">
      <c r="A52" s="21">
        <v>1</v>
      </c>
      <c r="B52" s="22" t="s">
        <v>56</v>
      </c>
      <c r="C52" s="23"/>
      <c r="D52" s="23">
        <f aca="true" t="shared" si="24" ref="D52:P52">D43+D46+D47</f>
        <v>4.547473508864641E-13</v>
      </c>
      <c r="E52" s="23">
        <f>E43+E46+E47</f>
        <v>0.11999999999989086</v>
      </c>
      <c r="F52" s="23">
        <f t="shared" si="24"/>
        <v>0.4800000000000182</v>
      </c>
      <c r="G52" s="23">
        <f t="shared" si="24"/>
        <v>-0.22000000000002728</v>
      </c>
      <c r="H52" s="23">
        <f t="shared" si="24"/>
        <v>0.31999999999993634</v>
      </c>
      <c r="I52" s="23">
        <f t="shared" si="24"/>
        <v>-0.3000000000001819</v>
      </c>
      <c r="J52" s="23">
        <f t="shared" si="24"/>
        <v>-0.42000000000007276</v>
      </c>
      <c r="K52" s="23">
        <f t="shared" si="24"/>
        <v>281.2199999999998</v>
      </c>
      <c r="L52" s="23">
        <f t="shared" si="24"/>
        <v>3331.38</v>
      </c>
      <c r="M52" s="24">
        <f t="shared" si="24"/>
        <v>3664.5599999999995</v>
      </c>
      <c r="N52" s="23">
        <f t="shared" si="24"/>
        <v>3859.8549383999994</v>
      </c>
      <c r="O52" s="23">
        <f t="shared" si="24"/>
        <v>4145.660898287199</v>
      </c>
      <c r="P52" s="23">
        <f t="shared" si="24"/>
        <v>4456.338752845037</v>
      </c>
    </row>
    <row r="53" spans="2:16" ht="13.5" customHeight="1">
      <c r="B53" s="5" t="s">
        <v>41</v>
      </c>
      <c r="C53" s="6"/>
      <c r="D53" s="14">
        <v>0.085</v>
      </c>
      <c r="E53" s="14">
        <v>0.085</v>
      </c>
      <c r="F53" s="14">
        <v>0.085</v>
      </c>
      <c r="G53" s="14">
        <v>0.085</v>
      </c>
      <c r="H53" s="14">
        <v>0.085</v>
      </c>
      <c r="I53" s="14">
        <v>0.085</v>
      </c>
      <c r="J53" s="14">
        <v>0.085</v>
      </c>
      <c r="K53" s="14">
        <v>0.085</v>
      </c>
      <c r="L53" s="14">
        <v>0.085</v>
      </c>
      <c r="M53" s="16">
        <v>0.085</v>
      </c>
      <c r="N53" s="14">
        <v>0.085</v>
      </c>
      <c r="O53" s="14">
        <v>0.085</v>
      </c>
      <c r="P53" s="14">
        <v>0.085</v>
      </c>
    </row>
    <row r="54" spans="2:16" ht="13.5" customHeight="1">
      <c r="B54" s="5" t="s">
        <v>42</v>
      </c>
      <c r="C54" s="6"/>
      <c r="D54" s="14">
        <v>0.08</v>
      </c>
      <c r="E54" s="14">
        <v>0.08</v>
      </c>
      <c r="F54" s="14">
        <v>0.08</v>
      </c>
      <c r="G54" s="14">
        <v>0.08</v>
      </c>
      <c r="H54" s="14">
        <v>0.08</v>
      </c>
      <c r="I54" s="14">
        <v>0.08</v>
      </c>
      <c r="J54" s="14">
        <v>0.08</v>
      </c>
      <c r="K54" s="14">
        <v>0.08</v>
      </c>
      <c r="L54" s="14">
        <v>0.08</v>
      </c>
      <c r="M54" s="16">
        <v>0.08</v>
      </c>
      <c r="N54" s="14">
        <v>0.08</v>
      </c>
      <c r="O54" s="14">
        <v>0.08</v>
      </c>
      <c r="P54" s="14">
        <v>0.08</v>
      </c>
    </row>
    <row r="55" spans="2:16" ht="13.5" customHeight="1">
      <c r="B55" s="5" t="s">
        <v>43</v>
      </c>
      <c r="C55" s="6"/>
      <c r="D55" s="15">
        <v>0.65</v>
      </c>
      <c r="E55" s="15">
        <v>0.65</v>
      </c>
      <c r="F55" s="15">
        <v>0.65</v>
      </c>
      <c r="G55" s="15">
        <v>0.65</v>
      </c>
      <c r="H55" s="15">
        <v>0.65</v>
      </c>
      <c r="I55" s="15">
        <v>0.65</v>
      </c>
      <c r="J55" s="15">
        <v>0.65</v>
      </c>
      <c r="K55" s="15">
        <v>0.65</v>
      </c>
      <c r="L55" s="15">
        <v>0.65</v>
      </c>
      <c r="M55" s="15">
        <v>0.65</v>
      </c>
      <c r="N55" s="15">
        <v>0.65</v>
      </c>
      <c r="O55" s="15">
        <v>0.65</v>
      </c>
      <c r="P55" s="15">
        <v>0.65</v>
      </c>
    </row>
    <row r="56" spans="2:16" ht="13.5" customHeight="1">
      <c r="B56" s="5" t="s">
        <v>44</v>
      </c>
      <c r="C56" s="6"/>
      <c r="D56" s="15">
        <f aca="true" t="shared" si="25" ref="D56:P56">D55*(C60+C61)/C60</f>
        <v>2.2507079821881115</v>
      </c>
      <c r="E56" s="15">
        <f t="shared" si="25"/>
        <v>1.259977897721455</v>
      </c>
      <c r="F56" s="15">
        <f t="shared" si="25"/>
        <v>1.1371830176000635</v>
      </c>
      <c r="G56" s="15">
        <f t="shared" si="25"/>
        <v>1.0283925847045536</v>
      </c>
      <c r="H56" s="15">
        <f t="shared" si="25"/>
        <v>0.9312488050900923</v>
      </c>
      <c r="I56" s="15">
        <f t="shared" si="25"/>
        <v>0.8465648760960379</v>
      </c>
      <c r="J56" s="15">
        <f t="shared" si="25"/>
        <v>0.771742647360979</v>
      </c>
      <c r="K56" s="15">
        <f t="shared" si="25"/>
        <v>0.7049720274649216</v>
      </c>
      <c r="L56" s="15">
        <f t="shared" si="25"/>
        <v>0.65</v>
      </c>
      <c r="M56" s="17">
        <f t="shared" si="25"/>
        <v>0.65</v>
      </c>
      <c r="N56" s="15">
        <f t="shared" si="25"/>
        <v>0.65</v>
      </c>
      <c r="O56" s="15">
        <f t="shared" si="25"/>
        <v>0.65</v>
      </c>
      <c r="P56" s="15">
        <f t="shared" si="25"/>
        <v>0.65</v>
      </c>
    </row>
    <row r="57" spans="1:16" s="22" customFormat="1" ht="13.5" customHeight="1">
      <c r="A57" s="21">
        <v>2</v>
      </c>
      <c r="B57" s="22" t="s">
        <v>54</v>
      </c>
      <c r="C57" s="23"/>
      <c r="D57" s="25">
        <f aca="true" t="shared" si="26" ref="D57:P57">D53+D54*D56</f>
        <v>0.2650566385750489</v>
      </c>
      <c r="E57" s="25">
        <f t="shared" si="26"/>
        <v>0.18579823181771643</v>
      </c>
      <c r="F57" s="25">
        <f t="shared" si="26"/>
        <v>0.1759746414080051</v>
      </c>
      <c r="G57" s="25">
        <f t="shared" si="26"/>
        <v>0.16727140677636432</v>
      </c>
      <c r="H57" s="25">
        <f t="shared" si="26"/>
        <v>0.1594999044072074</v>
      </c>
      <c r="I57" s="25">
        <f t="shared" si="26"/>
        <v>0.15272519008768304</v>
      </c>
      <c r="J57" s="25">
        <f t="shared" si="26"/>
        <v>0.14673941178887834</v>
      </c>
      <c r="K57" s="25">
        <f t="shared" si="26"/>
        <v>0.14139776219719374</v>
      </c>
      <c r="L57" s="25">
        <f t="shared" si="26"/>
        <v>0.137</v>
      </c>
      <c r="M57" s="26">
        <f t="shared" si="26"/>
        <v>0.137</v>
      </c>
      <c r="N57" s="25">
        <f t="shared" si="26"/>
        <v>0.137</v>
      </c>
      <c r="O57" s="25">
        <f t="shared" si="26"/>
        <v>0.137</v>
      </c>
      <c r="P57" s="25">
        <f t="shared" si="26"/>
        <v>0.137</v>
      </c>
    </row>
    <row r="58" spans="2:16" ht="13.5" customHeight="1">
      <c r="B58" s="5" t="s">
        <v>45</v>
      </c>
      <c r="C58" s="6"/>
      <c r="D58" s="6">
        <f>(1+D57)</f>
        <v>1.2650566385750488</v>
      </c>
      <c r="E58" s="6">
        <f aca="true" t="shared" si="27" ref="E58:O58">(1+E57)*D58</f>
        <v>1.5001019251715568</v>
      </c>
      <c r="F58" s="6">
        <f t="shared" si="27"/>
        <v>1.7640818235290796</v>
      </c>
      <c r="G58" s="6">
        <f t="shared" si="27"/>
        <v>2.0591622718194027</v>
      </c>
      <c r="H58" s="6">
        <f t="shared" si="27"/>
        <v>2.3875984573335254</v>
      </c>
      <c r="I58" s="6">
        <f t="shared" si="27"/>
        <v>2.752244885582847</v>
      </c>
      <c r="J58" s="6">
        <f t="shared" si="27"/>
        <v>3.1561076811922226</v>
      </c>
      <c r="K58" s="6">
        <f t="shared" si="27"/>
        <v>3.6023742445661773</v>
      </c>
      <c r="L58" s="6">
        <f t="shared" si="27"/>
        <v>4.095899516071744</v>
      </c>
      <c r="M58" s="7">
        <f t="shared" si="27"/>
        <v>4.657037749773573</v>
      </c>
      <c r="N58" s="6">
        <f t="shared" si="27"/>
        <v>5.295051921492552</v>
      </c>
      <c r="O58" s="6">
        <f t="shared" si="27"/>
        <v>6.020474034737032</v>
      </c>
      <c r="P58" s="6">
        <f>(1+P57)*O58</f>
        <v>6.8452789774960054</v>
      </c>
    </row>
    <row r="59" spans="2:17" ht="13.5" customHeight="1">
      <c r="B59" s="5" t="s">
        <v>46</v>
      </c>
      <c r="C59" s="6"/>
      <c r="D59" s="6">
        <f>(D43+D46+D47)/D58</f>
        <v>3.5946797717981107E-13</v>
      </c>
      <c r="E59" s="6">
        <f>(E43+E46+E47)/E58</f>
        <v>0.07999456436012989</v>
      </c>
      <c r="F59" s="6">
        <f>(F43+F46+F47)/F58</f>
        <v>0.2720962222941388</v>
      </c>
      <c r="G59" s="6">
        <f>(G43+G46+G47)/G58</f>
        <v>-0.10683956432711983</v>
      </c>
      <c r="H59" s="6">
        <f>(H43+H46+H47)/H58</f>
        <v>0.13402588656273173</v>
      </c>
      <c r="I59" s="6">
        <f>(I43+I46+I47)/I58</f>
        <v>-0.10900192841548344</v>
      </c>
      <c r="J59" s="6">
        <f>(J43+J46+J47)/J58</f>
        <v>-0.1330753074436983</v>
      </c>
      <c r="K59" s="6">
        <f>(K43+K46+K47)/K58</f>
        <v>78.06518171291951</v>
      </c>
      <c r="L59" s="6">
        <f>(L43+L46+L47)/L58</f>
        <v>813.3451484657095</v>
      </c>
      <c r="M59" s="7">
        <f>(M43+M46+M47)/M58</f>
        <v>786.886470949945</v>
      </c>
      <c r="N59" s="6">
        <f>(N43+N46+N47)/N58</f>
        <v>728.955068926311</v>
      </c>
      <c r="O59" s="6">
        <f>(O43+O46+O47)/O58</f>
        <v>688.5937675949594</v>
      </c>
      <c r="P59" s="6">
        <f>(P43+P46+P47+Q59)/P58</f>
        <v>6326.4728307387495</v>
      </c>
      <c r="Q59" s="5">
        <f>P52*1.02/(P57-0.02)</f>
        <v>38850.13271711057</v>
      </c>
    </row>
    <row r="60" spans="1:16" s="22" customFormat="1" ht="13.5" customHeight="1">
      <c r="A60" s="21">
        <v>3</v>
      </c>
      <c r="B60" s="22" t="s">
        <v>57</v>
      </c>
      <c r="C60" s="27">
        <f>SUM(D59:P59)</f>
        <v>9422.455668261624</v>
      </c>
      <c r="D60" s="23">
        <f aca="true" t="shared" si="28" ref="D60:P60">C60*(1+D57)-(D52)</f>
        <v>11919.940094813464</v>
      </c>
      <c r="E60" s="23">
        <f t="shared" si="28"/>
        <v>14134.523887802909</v>
      </c>
      <c r="F60" s="23">
        <f t="shared" si="28"/>
        <v>16621.361660431907</v>
      </c>
      <c r="G60" s="23">
        <f t="shared" si="28"/>
        <v>19401.86020791108</v>
      </c>
      <c r="H60" s="23">
        <f t="shared" si="28"/>
        <v>22496.135056394898</v>
      </c>
      <c r="I60" s="23">
        <f t="shared" si="28"/>
        <v>25932.161559121</v>
      </c>
      <c r="J60" s="23">
        <f t="shared" si="28"/>
        <v>29737.85169272058</v>
      </c>
      <c r="K60" s="23">
        <f t="shared" si="28"/>
        <v>33661.4973746233</v>
      </c>
      <c r="L60" s="23">
        <f t="shared" si="28"/>
        <v>34941.742514946694</v>
      </c>
      <c r="M60" s="24">
        <f t="shared" si="28"/>
        <v>36064.201239494396</v>
      </c>
      <c r="N60" s="23">
        <f t="shared" si="28"/>
        <v>37145.14187090513</v>
      </c>
      <c r="O60" s="23">
        <f t="shared" si="28"/>
        <v>38088.36540893193</v>
      </c>
      <c r="P60" s="23">
        <f t="shared" si="28"/>
        <v>38850.132717110566</v>
      </c>
    </row>
    <row r="61" spans="1:16" s="22" customFormat="1" ht="13.5" customHeight="1">
      <c r="A61" s="21">
        <v>4</v>
      </c>
      <c r="B61" s="22" t="s">
        <v>47</v>
      </c>
      <c r="C61" s="23">
        <f aca="true" t="shared" si="29" ref="C61:P61">C8+C9</f>
        <v>23204</v>
      </c>
      <c r="D61" s="23">
        <f t="shared" si="29"/>
        <v>11186</v>
      </c>
      <c r="E61" s="23">
        <f t="shared" si="29"/>
        <v>10594</v>
      </c>
      <c r="F61" s="23">
        <f t="shared" si="29"/>
        <v>9676</v>
      </c>
      <c r="G61" s="23">
        <f t="shared" si="29"/>
        <v>8395</v>
      </c>
      <c r="H61" s="23">
        <f t="shared" si="29"/>
        <v>6803</v>
      </c>
      <c r="I61" s="23">
        <f t="shared" si="29"/>
        <v>4857</v>
      </c>
      <c r="J61" s="23">
        <f t="shared" si="29"/>
        <v>2515</v>
      </c>
      <c r="K61" s="23">
        <f t="shared" si="29"/>
        <v>0</v>
      </c>
      <c r="L61" s="23">
        <f t="shared" si="29"/>
        <v>0</v>
      </c>
      <c r="M61" s="24">
        <f t="shared" si="29"/>
        <v>0</v>
      </c>
      <c r="N61" s="23">
        <f t="shared" si="29"/>
        <v>0</v>
      </c>
      <c r="O61" s="23">
        <f t="shared" si="29"/>
        <v>0</v>
      </c>
      <c r="P61" s="23">
        <f t="shared" si="29"/>
        <v>0</v>
      </c>
    </row>
    <row r="62" spans="1:16" s="28" customFormat="1" ht="13.5" customHeight="1">
      <c r="A62" s="21">
        <v>5</v>
      </c>
      <c r="B62" s="28" t="s">
        <v>48</v>
      </c>
      <c r="C62" s="29">
        <f aca="true" t="shared" si="30" ref="C62:P62">C60+C61</f>
        <v>32626.455668261624</v>
      </c>
      <c r="D62" s="30">
        <f t="shared" si="30"/>
        <v>23105.940094813464</v>
      </c>
      <c r="E62" s="30">
        <f t="shared" si="30"/>
        <v>24728.52388780291</v>
      </c>
      <c r="F62" s="30">
        <f t="shared" si="30"/>
        <v>26297.361660431907</v>
      </c>
      <c r="G62" s="30">
        <f t="shared" si="30"/>
        <v>27796.86020791108</v>
      </c>
      <c r="H62" s="30">
        <f t="shared" si="30"/>
        <v>29299.135056394898</v>
      </c>
      <c r="I62" s="30">
        <f t="shared" si="30"/>
        <v>30789.161559121</v>
      </c>
      <c r="J62" s="30">
        <f t="shared" si="30"/>
        <v>32252.85169272058</v>
      </c>
      <c r="K62" s="30">
        <f t="shared" si="30"/>
        <v>33661.4973746233</v>
      </c>
      <c r="L62" s="30">
        <f t="shared" si="30"/>
        <v>34941.742514946694</v>
      </c>
      <c r="M62" s="30">
        <f t="shared" si="30"/>
        <v>36064.201239494396</v>
      </c>
      <c r="N62" s="30">
        <f t="shared" si="30"/>
        <v>37145.14187090513</v>
      </c>
      <c r="O62" s="30">
        <f t="shared" si="30"/>
        <v>38088.36540893193</v>
      </c>
      <c r="P62" s="30">
        <f t="shared" si="30"/>
        <v>38850.132717110566</v>
      </c>
    </row>
    <row r="63" spans="1:16" s="22" customFormat="1" ht="13.5" customHeight="1">
      <c r="A63" s="21">
        <v>6</v>
      </c>
      <c r="B63" s="22" t="s">
        <v>49</v>
      </c>
      <c r="C63" s="23"/>
      <c r="D63" s="25">
        <f aca="true" t="shared" si="31" ref="D63:K63">D27/(C8+C9)</f>
        <v>0.12032408205481814</v>
      </c>
      <c r="E63" s="25">
        <f t="shared" si="31"/>
        <v>0.12095476488467727</v>
      </c>
      <c r="F63" s="25">
        <f t="shared" si="31"/>
        <v>0.12138946573532187</v>
      </c>
      <c r="G63" s="25">
        <f t="shared" si="31"/>
        <v>0.1222612649855312</v>
      </c>
      <c r="H63" s="25">
        <f t="shared" si="31"/>
        <v>0.12352590827873734</v>
      </c>
      <c r="I63" s="25">
        <f t="shared" si="31"/>
        <v>0.12494487726003234</v>
      </c>
      <c r="J63" s="25">
        <f t="shared" si="31"/>
        <v>0.12847436689314393</v>
      </c>
      <c r="K63" s="25">
        <f t="shared" si="31"/>
        <v>0.13956262425447316</v>
      </c>
      <c r="L63" s="25">
        <f>K63</f>
        <v>0.13956262425447316</v>
      </c>
      <c r="M63" s="26">
        <v>0</v>
      </c>
      <c r="N63" s="25">
        <v>0</v>
      </c>
      <c r="O63" s="25">
        <v>0</v>
      </c>
      <c r="P63" s="25">
        <v>0</v>
      </c>
    </row>
    <row r="64" spans="1:16" s="22" customFormat="1" ht="13.5" customHeight="1">
      <c r="A64" s="21">
        <v>7</v>
      </c>
      <c r="B64" s="22" t="s">
        <v>50</v>
      </c>
      <c r="C64" s="23"/>
      <c r="D64" s="25">
        <f>(D57*C60+D63*0.66*C61)/(C60+C61)</f>
        <v>0.13302715044141028</v>
      </c>
      <c r="E64" s="25">
        <f>(E57*D60+E63*0.66*D61)/(D60+D61)</f>
        <v>0.13449718038899527</v>
      </c>
      <c r="F64" s="25">
        <f>(F57*E60+F63*0.66*E61)/(E60+E61)</f>
        <v>0.13490808378879765</v>
      </c>
      <c r="G64" s="25">
        <f>(G57*F60+G63*0.66*F61)/(F60+F61)</f>
        <v>0.13541505012791025</v>
      </c>
      <c r="H64" s="25">
        <f>(H57*G60+H63*0.66*G61)/(G60+G61)</f>
        <v>0.1359511405323504</v>
      </c>
      <c r="I64" s="25">
        <f>(I57*H60+I63*0.66*H61)/(H60+H61)</f>
        <v>0.13641107476494485</v>
      </c>
      <c r="J64" s="25">
        <f>(J57*I60+J63*0.66*I61)/(I60+I61)</f>
        <v>0.13696735864346063</v>
      </c>
      <c r="K64" s="25">
        <f>(K57*J60+K63*0.66*J61)/(J60+J61)</f>
        <v>0.13755452460980488</v>
      </c>
      <c r="L64" s="25">
        <f>(L57*K60+L63*0.66*K61)/(K60+K61)</f>
        <v>0.137</v>
      </c>
      <c r="M64" s="26">
        <f>(M57*L60+M63*0.66*L61)/(L60+L61)</f>
        <v>0.137</v>
      </c>
      <c r="N64" s="25">
        <f>(N57*M60+N63*0.66*M61)/(M60+M61)</f>
        <v>0.137</v>
      </c>
      <c r="O64" s="25">
        <f>(O57*N60+O63*0.66*N61)/(N60+N61)</f>
        <v>0.137</v>
      </c>
      <c r="P64" s="25">
        <f>(P57*O60+P63*0.66*O61)/(O60+O61)</f>
        <v>0.137</v>
      </c>
    </row>
    <row r="65" spans="2:16" ht="13.5" customHeight="1">
      <c r="B65" s="5" t="s">
        <v>51</v>
      </c>
      <c r="C65" s="6"/>
      <c r="D65" s="6">
        <f>(1+D64)</f>
        <v>1.1330271504414102</v>
      </c>
      <c r="E65" s="6">
        <f aca="true" t="shared" si="32" ref="E65:P65">(1+E64)*D65</f>
        <v>1.285416107479958</v>
      </c>
      <c r="F65" s="6">
        <f t="shared" si="32"/>
        <v>1.4588291314113342</v>
      </c>
      <c r="G65" s="6">
        <f t="shared" si="32"/>
        <v>1.656376551369456</v>
      </c>
      <c r="H65" s="6">
        <f t="shared" si="32"/>
        <v>1.8815628326791747</v>
      </c>
      <c r="I65" s="6">
        <f t="shared" si="32"/>
        <v>2.138228840922715</v>
      </c>
      <c r="J65" s="6">
        <f t="shared" si="32"/>
        <v>2.431096397439167</v>
      </c>
      <c r="K65" s="6">
        <f t="shared" si="32"/>
        <v>2.765504706669521</v>
      </c>
      <c r="L65" s="6">
        <f t="shared" si="32"/>
        <v>3.1443788514832454</v>
      </c>
      <c r="M65" s="7">
        <f t="shared" si="32"/>
        <v>3.57515875413645</v>
      </c>
      <c r="N65" s="6">
        <f t="shared" si="32"/>
        <v>4.0649555034531435</v>
      </c>
      <c r="O65" s="6">
        <f t="shared" si="32"/>
        <v>4.621854407426224</v>
      </c>
      <c r="P65" s="6">
        <f t="shared" si="32"/>
        <v>5.255048461243617</v>
      </c>
    </row>
    <row r="66" spans="2:17" ht="13.5" customHeight="1">
      <c r="B66" s="5" t="s">
        <v>52</v>
      </c>
      <c r="C66" s="6"/>
      <c r="D66" s="6">
        <f>D48/D65</f>
        <v>12233.352038033752</v>
      </c>
      <c r="E66" s="6">
        <f>E48/E65</f>
        <v>1155.3457214034136</v>
      </c>
      <c r="F66" s="6">
        <f>F48/F65</f>
        <v>1211.409864217817</v>
      </c>
      <c r="G66" s="6">
        <f>G48/G65</f>
        <v>1244.620372279206</v>
      </c>
      <c r="H66" s="6">
        <f>H48/H65</f>
        <v>1210.0260275433527</v>
      </c>
      <c r="I66" s="6">
        <f>I48/I65</f>
        <v>1172.3254087800433</v>
      </c>
      <c r="J66" s="6">
        <f>J48/J65</f>
        <v>1132.5836371195965</v>
      </c>
      <c r="K66" s="6">
        <f>K48/K65</f>
        <v>1094.8742892021528</v>
      </c>
      <c r="L66" s="6">
        <f>L48/L65</f>
        <v>1059.4715704911143</v>
      </c>
      <c r="M66" s="7">
        <f>M48/M65</f>
        <v>1025.0062310548064</v>
      </c>
      <c r="N66" s="6">
        <f>N48/N65</f>
        <v>949.5442041422316</v>
      </c>
      <c r="O66" s="6">
        <f>O48/O65</f>
        <v>896.9691671001374</v>
      </c>
      <c r="P66" s="6">
        <f>(P48+Q66)/P65</f>
        <v>8240.927136894004</v>
      </c>
      <c r="Q66" s="5">
        <f>P48*1.02/(P64-0.02)</f>
        <v>38850.13271711057</v>
      </c>
    </row>
    <row r="67" spans="1:16" s="28" customFormat="1" ht="13.5" customHeight="1">
      <c r="A67" s="21">
        <v>8</v>
      </c>
      <c r="B67" s="28" t="s">
        <v>55</v>
      </c>
      <c r="C67" s="29">
        <f>SUM(D66:P66)</f>
        <v>32626.45566826163</v>
      </c>
      <c r="D67" s="30">
        <f>C67*(1+D64)-D48</f>
        <v>23105.94009481347</v>
      </c>
      <c r="E67" s="30">
        <f>D67*(1+E64)-E48</f>
        <v>24728.523887802923</v>
      </c>
      <c r="F67" s="30">
        <f>E67*(1+F64)-F48</f>
        <v>26297.361660431925</v>
      </c>
      <c r="G67" s="30">
        <f>F67*(1+G64)-G48</f>
        <v>27796.8602079111</v>
      </c>
      <c r="H67" s="30">
        <f>G67*(1+H64)-H48</f>
        <v>29299.135056394924</v>
      </c>
      <c r="I67" s="30">
        <f>H67*(1+I64)-I48</f>
        <v>30789.161559121025</v>
      </c>
      <c r="J67" s="30">
        <f>I67*(1+J64)-J48</f>
        <v>32252.851692720607</v>
      </c>
      <c r="K67" s="30">
        <f>J67*(1+K64)-K48</f>
        <v>33661.49737462334</v>
      </c>
      <c r="L67" s="30">
        <f>K67*(1+L64)-L48</f>
        <v>34941.74251494674</v>
      </c>
      <c r="M67" s="30">
        <f>L67*(1+M64)-M48</f>
        <v>36064.20123949445</v>
      </c>
      <c r="N67" s="30">
        <f>M67*(1+N64)-N48</f>
        <v>37145.14187090519</v>
      </c>
      <c r="O67" s="30">
        <f>N67*(1+O64)-O48</f>
        <v>38088.365408932</v>
      </c>
      <c r="P67" s="30">
        <f>O67*(1+P64)-P48</f>
        <v>38850.13271711064</v>
      </c>
    </row>
    <row r="68" spans="1:16" s="19" customFormat="1" ht="13.5" customHeight="1">
      <c r="A68" s="18"/>
      <c r="B68" s="19" t="s">
        <v>58</v>
      </c>
      <c r="D68" s="20">
        <f>C67*(1+D64)-D48</f>
        <v>23105.94009481347</v>
      </c>
      <c r="E68" s="20">
        <f>D67*(1+E64)-E48</f>
        <v>24728.523887802923</v>
      </c>
      <c r="F68" s="20">
        <f>E67*(1+F64)-F48</f>
        <v>26297.361660431925</v>
      </c>
      <c r="G68" s="20">
        <f>F67*(1+G64)-G48</f>
        <v>27796.8602079111</v>
      </c>
      <c r="H68" s="20">
        <f>G67*(1+H64)-H48</f>
        <v>29299.135056394924</v>
      </c>
      <c r="I68" s="20">
        <f>H67*(1+I64)-I48</f>
        <v>30789.161559121025</v>
      </c>
      <c r="J68" s="20">
        <f>I67*(1+J64)-J48</f>
        <v>32252.851692720607</v>
      </c>
      <c r="K68" s="20">
        <f>J67*(1+K64)-K48</f>
        <v>33661.49737462334</v>
      </c>
      <c r="L68" s="20">
        <f>K67*(1+L64)-L48</f>
        <v>34941.74251494674</v>
      </c>
      <c r="M68" s="20">
        <f>L67*(1+M64)-M48</f>
        <v>36064.20123949445</v>
      </c>
      <c r="N68" s="20">
        <f>M67*(1+N64)-N48</f>
        <v>37145.14187090519</v>
      </c>
      <c r="O68" s="20">
        <f>N67*(1+O64)-O48</f>
        <v>38088.365408932</v>
      </c>
      <c r="P68" s="20">
        <f>O67*(1+P64)-P48</f>
        <v>38850.13271711064</v>
      </c>
    </row>
  </sheetData>
  <printOptions/>
  <pageMargins left="0.7480314960629921" right="0.3937007874015748" top="0.7874015748031497" bottom="0.7874015748031497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2003-11-18T15:14:18Z</dcterms:created>
  <dcterms:modified xsi:type="dcterms:W3CDTF">2004-03-06T13:01:42Z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1641370158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