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275" windowHeight="4875" activeTab="0"/>
  </bookViews>
  <sheets>
    <sheet name="20.11" sheetId="1" r:id="rId1"/>
  </sheets>
  <definedNames>
    <definedName name="_xlnm.Print_Area" localSheetId="0">'20.11'!$B$1:$P$69</definedName>
  </definedNames>
  <calcPr fullCalcOnLoad="1" iterate="1" iterateCount="100" iterateDelta="1E-08"/>
</workbook>
</file>

<file path=xl/sharedStrings.xml><?xml version="1.0" encoding="utf-8"?>
<sst xmlns="http://schemas.openxmlformats.org/spreadsheetml/2006/main" count="61" uniqueCount="59">
  <si>
    <t>RJR NABISCO. 2. Estrategia de KKR</t>
  </si>
  <si>
    <t>($ millones)</t>
  </si>
  <si>
    <t>NOF</t>
  </si>
  <si>
    <t>Activos fijos</t>
  </si>
  <si>
    <t>Total activo neto</t>
  </si>
  <si>
    <t>Deuda asumida</t>
  </si>
  <si>
    <t>Nueva deuda</t>
  </si>
  <si>
    <t>Convertibles</t>
  </si>
  <si>
    <t>Preferentes</t>
  </si>
  <si>
    <t>Recursos propios</t>
  </si>
  <si>
    <t>Total pasivo neto</t>
  </si>
  <si>
    <t>Venta de activos</t>
  </si>
  <si>
    <t>Valor contable</t>
  </si>
  <si>
    <t>Impuestos</t>
  </si>
  <si>
    <t>Venta - impuestos</t>
  </si>
  <si>
    <t>Bfo extraordinario</t>
  </si>
  <si>
    <t>Bfo neto  no incluye venta de activos</t>
  </si>
  <si>
    <t>VENTAS</t>
  </si>
  <si>
    <t>Beneficio operativo</t>
  </si>
  <si>
    <t>Intereses</t>
  </si>
  <si>
    <t>Impuestos (34%)</t>
  </si>
  <si>
    <t>Amort. fondo comercio</t>
  </si>
  <si>
    <t>Beneficio neto</t>
  </si>
  <si>
    <t xml:space="preserve"> - dividendos preferentes</t>
  </si>
  <si>
    <t xml:space="preserve"> + beneficio venta activos</t>
  </si>
  <si>
    <t>Beneficio para ordinarias</t>
  </si>
  <si>
    <t>Amortización e</t>
  </si>
  <si>
    <t>impuestos diferidos</t>
  </si>
  <si>
    <t xml:space="preserve"> -Inversiones</t>
  </si>
  <si>
    <t xml:space="preserve"> -Aumento NOF</t>
  </si>
  <si>
    <t xml:space="preserve"> +Valor cont. activos vendidos</t>
  </si>
  <si>
    <t xml:space="preserve"> +Intereses diferidos</t>
  </si>
  <si>
    <t xml:space="preserve"> + Aumento de deuda</t>
  </si>
  <si>
    <t xml:space="preserve"> + dividendos preferentes</t>
  </si>
  <si>
    <t xml:space="preserve"> -Amortización preferentes</t>
  </si>
  <si>
    <t>Flujo acciones</t>
  </si>
  <si>
    <t xml:space="preserve"> +(1-0,34)Intereses pagados</t>
  </si>
  <si>
    <t xml:space="preserve"> +devolución de deuda</t>
  </si>
  <si>
    <t xml:space="preserve"> +Amortización preferentes</t>
  </si>
  <si>
    <t>FCF</t>
  </si>
  <si>
    <t>Considerando las convertibles como acciones (g=2%)</t>
  </si>
  <si>
    <t>CFacc+CFconver</t>
  </si>
  <si>
    <t>Rf</t>
  </si>
  <si>
    <t>Pm</t>
  </si>
  <si>
    <t>Beta u</t>
  </si>
  <si>
    <t>beta L</t>
  </si>
  <si>
    <t>Ke</t>
  </si>
  <si>
    <t>Producto (1+Ke)</t>
  </si>
  <si>
    <t>CFac / Producto (1+Ke)</t>
  </si>
  <si>
    <t>CF Preferentes</t>
  </si>
  <si>
    <t>beta pref</t>
  </si>
  <si>
    <t>Ke preferentes</t>
  </si>
  <si>
    <t>Producto (1+Kep)</t>
  </si>
  <si>
    <t>CFpref / Producto (1+Kep)</t>
  </si>
  <si>
    <t>Pref=VA(CFpre;Kep)</t>
  </si>
  <si>
    <t>D</t>
  </si>
  <si>
    <t xml:space="preserve"> -0,34  x  intereses diferidos</t>
  </si>
  <si>
    <t>E+Co=VA(CFac;Ke)</t>
  </si>
  <si>
    <t>D+E+Co+Pref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</si>
</sst>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  <numFmt numFmtId="183" formatCode="0.000%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8"/>
      <name val="Arial Narrow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2" fontId="11" fillId="0" borderId="0" xfId="0" applyNumberFormat="1" applyFont="1" applyBorder="1" applyAlignment="1">
      <alignment/>
    </xf>
    <xf numFmtId="182" fontId="11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4" fillId="0" borderId="9" xfId="0" applyFont="1" applyBorder="1" applyAlignment="1">
      <alignment/>
    </xf>
    <xf numFmtId="10" fontId="6" fillId="0" borderId="0" xfId="0" applyNumberFormat="1" applyFont="1" applyBorder="1" applyAlignment="1">
      <alignment/>
    </xf>
    <xf numFmtId="10" fontId="6" fillId="0" borderId="3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workbookViewId="0" topLeftCell="A1">
      <pane ySplit="1845" topLeftCell="BM48" activePane="bottomLeft" state="split"/>
      <selection pane="topLeft" activeCell="C1" sqref="C1:P16384"/>
      <selection pane="bottomLeft" activeCell="B57" sqref="B57"/>
    </sheetView>
  </sheetViews>
  <sheetFormatPr defaultColWidth="9.00390625" defaultRowHeight="12.75"/>
  <cols>
    <col min="1" max="1" width="2.75390625" style="5" customWidth="1"/>
    <col min="2" max="2" width="26.00390625" style="5" customWidth="1"/>
    <col min="3" max="12" width="6.875" style="5" customWidth="1"/>
    <col min="13" max="13" width="6.875" style="11" customWidth="1"/>
    <col min="14" max="16" width="6.875" style="5" customWidth="1"/>
    <col min="17" max="18" width="6.75390625" style="5" customWidth="1"/>
    <col min="19" max="16384" width="10.75390625" style="5" customWidth="1"/>
  </cols>
  <sheetData>
    <row r="1" spans="3:13" s="1" customFormat="1" ht="18" customHeight="1">
      <c r="C1" s="2"/>
      <c r="D1" s="2"/>
      <c r="E1" s="2" t="s">
        <v>0</v>
      </c>
      <c r="G1" s="2"/>
      <c r="H1" s="2"/>
      <c r="I1" s="2"/>
      <c r="M1" s="3"/>
    </row>
    <row r="2" spans="3:13" s="1" customFormat="1" ht="10.5" customHeight="1">
      <c r="C2" s="2"/>
      <c r="D2" s="2"/>
      <c r="E2" s="2"/>
      <c r="G2" s="2"/>
      <c r="H2" s="2"/>
      <c r="I2" s="2"/>
      <c r="M2" s="3"/>
    </row>
    <row r="3" spans="2:16" s="1" customFormat="1" ht="12.75">
      <c r="B3" s="4" t="s">
        <v>1</v>
      </c>
      <c r="C3" s="1">
        <v>1988</v>
      </c>
      <c r="D3" s="1">
        <f aca="true" t="shared" si="0" ref="D3:P3">C3+1</f>
        <v>1989</v>
      </c>
      <c r="E3" s="1">
        <f t="shared" si="0"/>
        <v>1990</v>
      </c>
      <c r="F3" s="1">
        <f t="shared" si="0"/>
        <v>1991</v>
      </c>
      <c r="G3" s="1">
        <f t="shared" si="0"/>
        <v>1992</v>
      </c>
      <c r="H3" s="1">
        <f t="shared" si="0"/>
        <v>1993</v>
      </c>
      <c r="I3" s="1">
        <f t="shared" si="0"/>
        <v>1994</v>
      </c>
      <c r="J3" s="1">
        <f t="shared" si="0"/>
        <v>1995</v>
      </c>
      <c r="K3" s="1">
        <f t="shared" si="0"/>
        <v>1996</v>
      </c>
      <c r="L3" s="1">
        <f t="shared" si="0"/>
        <v>1997</v>
      </c>
      <c r="M3" s="3">
        <f t="shared" si="0"/>
        <v>1998</v>
      </c>
      <c r="N3" s="1">
        <f t="shared" si="0"/>
        <v>1999</v>
      </c>
      <c r="O3" s="1">
        <f t="shared" si="0"/>
        <v>2000</v>
      </c>
      <c r="P3" s="1">
        <f t="shared" si="0"/>
        <v>2001</v>
      </c>
    </row>
    <row r="4" spans="2:16" s="1" customFormat="1" ht="12.75">
      <c r="B4" s="5" t="s">
        <v>2</v>
      </c>
      <c r="C4" s="6">
        <v>1191</v>
      </c>
      <c r="D4" s="6">
        <f>C4+D36-185</f>
        <v>1085</v>
      </c>
      <c r="E4" s="6">
        <f>D4+E36-140</f>
        <v>1029</v>
      </c>
      <c r="F4" s="6">
        <f aca="true" t="shared" si="1" ref="F4:P4">E4+F36</f>
        <v>1115</v>
      </c>
      <c r="G4" s="6">
        <f t="shared" si="1"/>
        <v>1210</v>
      </c>
      <c r="H4" s="6">
        <f t="shared" si="1"/>
        <v>1312</v>
      </c>
      <c r="I4" s="6">
        <f t="shared" si="1"/>
        <v>1423</v>
      </c>
      <c r="J4" s="6">
        <f t="shared" si="1"/>
        <v>1542</v>
      </c>
      <c r="K4" s="6">
        <f t="shared" si="1"/>
        <v>1671</v>
      </c>
      <c r="L4" s="6">
        <f t="shared" si="1"/>
        <v>1811</v>
      </c>
      <c r="M4" s="7">
        <f t="shared" si="1"/>
        <v>1962</v>
      </c>
      <c r="N4" s="6">
        <f t="shared" si="1"/>
        <v>2126.439</v>
      </c>
      <c r="O4" s="6">
        <f t="shared" si="1"/>
        <v>2305.513071</v>
      </c>
      <c r="P4" s="6">
        <f t="shared" si="1"/>
        <v>2500.524734319</v>
      </c>
    </row>
    <row r="5" spans="2:16" s="1" customFormat="1" ht="12.75">
      <c r="B5" s="5" t="s">
        <v>3</v>
      </c>
      <c r="C5" s="6">
        <f>C13-C4</f>
        <v>25284</v>
      </c>
      <c r="D5" s="6">
        <f>C5+D35-D34-D17+185</f>
        <v>21963</v>
      </c>
      <c r="E5" s="6">
        <f>D5+E35-E34-E17+140</f>
        <v>19260</v>
      </c>
      <c r="F5" s="6">
        <f aca="true" t="shared" si="2" ref="F5:P5">E5+F35-F34</f>
        <v>18916</v>
      </c>
      <c r="G5" s="6">
        <f t="shared" si="2"/>
        <v>18581</v>
      </c>
      <c r="H5" s="6">
        <f t="shared" si="2"/>
        <v>18247</v>
      </c>
      <c r="I5" s="6">
        <f t="shared" si="2"/>
        <v>17921</v>
      </c>
      <c r="J5" s="6">
        <f t="shared" si="2"/>
        <v>17611</v>
      </c>
      <c r="K5" s="6">
        <f t="shared" si="2"/>
        <v>17316</v>
      </c>
      <c r="L5" s="6">
        <f t="shared" si="2"/>
        <v>17041</v>
      </c>
      <c r="M5" s="7">
        <f t="shared" si="2"/>
        <v>16774</v>
      </c>
      <c r="N5" s="6">
        <f t="shared" si="2"/>
        <v>16567.342</v>
      </c>
      <c r="O5" s="6">
        <f t="shared" si="2"/>
        <v>16426.396438</v>
      </c>
      <c r="P5" s="6">
        <f t="shared" si="2"/>
        <v>16357.011720981998</v>
      </c>
    </row>
    <row r="6" spans="2:16" s="1" customFormat="1" ht="12.75">
      <c r="B6" s="5" t="s">
        <v>4</v>
      </c>
      <c r="C6" s="6">
        <f aca="true" t="shared" si="3" ref="C6:P6">SUM(C4:C5)</f>
        <v>26475</v>
      </c>
      <c r="D6" s="6">
        <f t="shared" si="3"/>
        <v>23048</v>
      </c>
      <c r="E6" s="6">
        <f t="shared" si="3"/>
        <v>20289</v>
      </c>
      <c r="F6" s="6">
        <f t="shared" si="3"/>
        <v>20031</v>
      </c>
      <c r="G6" s="6">
        <f t="shared" si="3"/>
        <v>19791</v>
      </c>
      <c r="H6" s="6">
        <f t="shared" si="3"/>
        <v>19559</v>
      </c>
      <c r="I6" s="6">
        <f t="shared" si="3"/>
        <v>19344</v>
      </c>
      <c r="J6" s="6">
        <f t="shared" si="3"/>
        <v>19153</v>
      </c>
      <c r="K6" s="6">
        <f t="shared" si="3"/>
        <v>18987</v>
      </c>
      <c r="L6" s="6">
        <f t="shared" si="3"/>
        <v>18852</v>
      </c>
      <c r="M6" s="7">
        <f t="shared" si="3"/>
        <v>18736</v>
      </c>
      <c r="N6" s="6">
        <f t="shared" si="3"/>
        <v>18693.781</v>
      </c>
      <c r="O6" s="6">
        <f t="shared" si="3"/>
        <v>18731.909509</v>
      </c>
      <c r="P6" s="6">
        <f t="shared" si="3"/>
        <v>18857.536455300997</v>
      </c>
    </row>
    <row r="7" spans="2:16" s="1" customFormat="1" ht="12.7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6"/>
      <c r="O7" s="6"/>
      <c r="P7" s="6"/>
    </row>
    <row r="8" spans="2:16" s="1" customFormat="1" ht="12.75">
      <c r="B8" s="5" t="s">
        <v>5</v>
      </c>
      <c r="C8" s="6">
        <v>5204</v>
      </c>
      <c r="D8" s="6">
        <v>4894</v>
      </c>
      <c r="E8" s="6">
        <v>4519</v>
      </c>
      <c r="F8" s="6">
        <v>3798</v>
      </c>
      <c r="G8" s="6">
        <v>2982</v>
      </c>
      <c r="H8" s="6">
        <v>2582</v>
      </c>
      <c r="I8" s="6">
        <v>2182</v>
      </c>
      <c r="J8" s="6">
        <v>0</v>
      </c>
      <c r="K8" s="6">
        <v>0</v>
      </c>
      <c r="L8" s="6">
        <v>0</v>
      </c>
      <c r="M8" s="7">
        <v>0</v>
      </c>
      <c r="N8" s="6">
        <v>0</v>
      </c>
      <c r="O8" s="6">
        <v>0</v>
      </c>
      <c r="P8" s="6">
        <v>0</v>
      </c>
    </row>
    <row r="9" spans="2:16" s="1" customFormat="1" ht="12.75">
      <c r="B9" s="5" t="s">
        <v>6</v>
      </c>
      <c r="C9" s="6">
        <f>12380+3500</f>
        <v>15880</v>
      </c>
      <c r="D9" s="6">
        <f>3500+8959</f>
        <v>12459</v>
      </c>
      <c r="E9" s="6">
        <f>3500+5813</f>
        <v>9313</v>
      </c>
      <c r="F9" s="6">
        <f>3500+5119</f>
        <v>8619</v>
      </c>
      <c r="G9" s="6">
        <f>3500+4195</f>
        <v>7695</v>
      </c>
      <c r="H9" s="6">
        <f>3500+2612</f>
        <v>6112</v>
      </c>
      <c r="I9" s="6">
        <f>3500+629</f>
        <v>4129</v>
      </c>
      <c r="J9" s="6">
        <f>3479</f>
        <v>3479</v>
      </c>
      <c r="K9" s="6">
        <v>149</v>
      </c>
      <c r="L9" s="6">
        <v>0</v>
      </c>
      <c r="M9" s="7">
        <v>0</v>
      </c>
      <c r="N9" s="6">
        <v>0</v>
      </c>
      <c r="O9" s="6">
        <v>0</v>
      </c>
      <c r="P9" s="6">
        <v>0</v>
      </c>
    </row>
    <row r="10" spans="2:16" s="1" customFormat="1" ht="12.75">
      <c r="B10" s="5" t="s">
        <v>7</v>
      </c>
      <c r="C10" s="6">
        <v>1373</v>
      </c>
      <c r="D10" s="6">
        <f>C10*1.15</f>
        <v>1578.9499999999998</v>
      </c>
      <c r="E10" s="6">
        <f>D10*1.15</f>
        <v>1815.7924999999996</v>
      </c>
      <c r="F10" s="6">
        <f>E10*1.172</f>
        <v>2128.1088099999993</v>
      </c>
      <c r="G10" s="6">
        <f>F10*1.172</f>
        <v>2494.143525319999</v>
      </c>
      <c r="H10" s="6"/>
      <c r="I10" s="6"/>
      <c r="J10" s="6"/>
      <c r="K10" s="6"/>
      <c r="L10" s="6"/>
      <c r="M10" s="7"/>
      <c r="N10" s="6"/>
      <c r="O10" s="6"/>
      <c r="P10" s="6"/>
    </row>
    <row r="11" spans="2:16" s="1" customFormat="1" ht="12.75">
      <c r="B11" s="5" t="s">
        <v>8</v>
      </c>
      <c r="C11" s="6">
        <v>2518</v>
      </c>
      <c r="D11" s="6">
        <f>C11*1.15</f>
        <v>2895.7</v>
      </c>
      <c r="E11" s="6">
        <f>D11*1.15</f>
        <v>3330.0549999999994</v>
      </c>
      <c r="F11" s="6">
        <f aca="true" t="shared" si="4" ref="F11:K11">E11*1.188</f>
        <v>3956.105339999999</v>
      </c>
      <c r="G11" s="6">
        <f t="shared" si="4"/>
        <v>4699.853143919999</v>
      </c>
      <c r="H11" s="6">
        <f t="shared" si="4"/>
        <v>5583.425534976958</v>
      </c>
      <c r="I11" s="6">
        <f t="shared" si="4"/>
        <v>6633.109535552626</v>
      </c>
      <c r="J11" s="6">
        <f t="shared" si="4"/>
        <v>7880.134128236519</v>
      </c>
      <c r="K11" s="6">
        <f t="shared" si="4"/>
        <v>9361.599344344984</v>
      </c>
      <c r="L11" s="6">
        <v>7320</v>
      </c>
      <c r="M11" s="7">
        <v>4377</v>
      </c>
      <c r="N11" s="6">
        <f>M11-3828</f>
        <v>549</v>
      </c>
      <c r="O11" s="6">
        <v>0</v>
      </c>
      <c r="P11" s="6">
        <v>0</v>
      </c>
    </row>
    <row r="12" spans="2:16" s="1" customFormat="1" ht="12.75">
      <c r="B12" s="5" t="s">
        <v>9</v>
      </c>
      <c r="C12" s="6">
        <v>1500</v>
      </c>
      <c r="D12" s="6">
        <f>C12+D32-D42</f>
        <v>1220.3000000000002</v>
      </c>
      <c r="E12" s="6">
        <f>D12+E32-E42</f>
        <v>1310.9450000000006</v>
      </c>
      <c r="F12" s="6">
        <f>E12+F32-F42</f>
        <v>1529.8946600000008</v>
      </c>
      <c r="G12" s="6">
        <f>F12+G32-G42</f>
        <v>1920.1468560800013</v>
      </c>
      <c r="H12" s="6">
        <f>G12+H32-H42+G10</f>
        <v>5281.717990343041</v>
      </c>
      <c r="I12" s="6">
        <f aca="true" t="shared" si="5" ref="I12:P12">H12+I32-I42</f>
        <v>6400.033989767373</v>
      </c>
      <c r="J12" s="6">
        <f t="shared" si="5"/>
        <v>7794.009397083479</v>
      </c>
      <c r="K12" s="6">
        <f t="shared" si="5"/>
        <v>9476.544180975014</v>
      </c>
      <c r="L12" s="6">
        <f t="shared" si="5"/>
        <v>11532.143525319998</v>
      </c>
      <c r="M12" s="7">
        <f t="shared" si="5"/>
        <v>14359.143525319998</v>
      </c>
      <c r="N12" s="6">
        <f t="shared" si="5"/>
        <v>18144.92452532</v>
      </c>
      <c r="O12" s="6">
        <f t="shared" si="5"/>
        <v>18732.053034319997</v>
      </c>
      <c r="P12" s="6">
        <f t="shared" si="5"/>
        <v>18857.679980620997</v>
      </c>
    </row>
    <row r="13" spans="2:16" s="1" customFormat="1" ht="12.75">
      <c r="B13" s="8" t="s">
        <v>10</v>
      </c>
      <c r="C13" s="9">
        <f aca="true" t="shared" si="6" ref="C13:P13">SUM(C8:C12)</f>
        <v>26475</v>
      </c>
      <c r="D13" s="9">
        <f t="shared" si="6"/>
        <v>23047.95</v>
      </c>
      <c r="E13" s="9">
        <f t="shared" si="6"/>
        <v>20288.7925</v>
      </c>
      <c r="F13" s="9">
        <f t="shared" si="6"/>
        <v>20031.10881</v>
      </c>
      <c r="G13" s="9">
        <f t="shared" si="6"/>
        <v>19791.14352532</v>
      </c>
      <c r="H13" s="9">
        <f t="shared" si="6"/>
        <v>19559.14352532</v>
      </c>
      <c r="I13" s="9">
        <f t="shared" si="6"/>
        <v>19344.14352532</v>
      </c>
      <c r="J13" s="9">
        <f t="shared" si="6"/>
        <v>19153.143525319996</v>
      </c>
      <c r="K13" s="9">
        <f t="shared" si="6"/>
        <v>18987.143525319996</v>
      </c>
      <c r="L13" s="9">
        <f t="shared" si="6"/>
        <v>18852.143525319996</v>
      </c>
      <c r="M13" s="9">
        <f t="shared" si="6"/>
        <v>18736.143525319996</v>
      </c>
      <c r="N13" s="9">
        <f t="shared" si="6"/>
        <v>18693.92452532</v>
      </c>
      <c r="O13" s="9">
        <f t="shared" si="6"/>
        <v>18732.053034319997</v>
      </c>
      <c r="P13" s="9">
        <f t="shared" si="6"/>
        <v>18857.679980620997</v>
      </c>
    </row>
    <row r="14" spans="3:13" s="1" customFormat="1" ht="12.75">
      <c r="C14" s="10"/>
      <c r="D14" s="10"/>
      <c r="E14" s="10"/>
      <c r="F14" s="10"/>
      <c r="G14" s="10"/>
      <c r="M14" s="3"/>
    </row>
    <row r="15" spans="4:13" s="1" customFormat="1" ht="12.75">
      <c r="D15" s="1">
        <v>1989</v>
      </c>
      <c r="E15" s="1">
        <f>D15+1</f>
        <v>1990</v>
      </c>
      <c r="F15" s="10"/>
      <c r="G15" s="10"/>
      <c r="M15" s="3"/>
    </row>
    <row r="16" spans="2:13" s="1" customFormat="1" ht="12.75">
      <c r="B16" s="1" t="s">
        <v>11</v>
      </c>
      <c r="C16" s="10"/>
      <c r="D16" s="10">
        <v>3694</v>
      </c>
      <c r="E16" s="10">
        <v>2850</v>
      </c>
      <c r="F16" s="6"/>
      <c r="G16" s="6"/>
      <c r="I16" s="5"/>
      <c r="M16" s="3"/>
    </row>
    <row r="17" spans="2:13" s="1" customFormat="1" ht="12.75">
      <c r="B17" s="5" t="s">
        <v>12</v>
      </c>
      <c r="C17" s="6"/>
      <c r="D17" s="6">
        <v>3121</v>
      </c>
      <c r="E17" s="6">
        <v>2408</v>
      </c>
      <c r="F17" s="10"/>
      <c r="G17" s="6">
        <f>C13-C8</f>
        <v>21271</v>
      </c>
      <c r="M17" s="3"/>
    </row>
    <row r="18" spans="2:13" s="1" customFormat="1" ht="12.75">
      <c r="B18" s="5" t="s">
        <v>13</v>
      </c>
      <c r="C18" s="6"/>
      <c r="D18" s="6">
        <f>INT((D16-D17)*0.34)</f>
        <v>194</v>
      </c>
      <c r="E18" s="6">
        <f>INT((E16-E17)*0.34)</f>
        <v>150</v>
      </c>
      <c r="F18" s="10"/>
      <c r="G18" s="6">
        <f>G17-7210</f>
        <v>14061</v>
      </c>
      <c r="M18" s="3"/>
    </row>
    <row r="19" spans="2:13" s="1" customFormat="1" ht="12.75">
      <c r="B19" s="5" t="s">
        <v>14</v>
      </c>
      <c r="C19" s="6"/>
      <c r="D19" s="6">
        <f>D16-D18</f>
        <v>3500</v>
      </c>
      <c r="E19" s="6">
        <f>E16-E18</f>
        <v>2700</v>
      </c>
      <c r="F19" s="10"/>
      <c r="G19" s="6">
        <f>G18/40</f>
        <v>351.525</v>
      </c>
      <c r="M19" s="3"/>
    </row>
    <row r="20" spans="2:13" s="1" customFormat="1" ht="12.75">
      <c r="B20" s="1" t="s">
        <v>15</v>
      </c>
      <c r="C20" s="10"/>
      <c r="D20" s="10">
        <f>D16-D17-D18</f>
        <v>379</v>
      </c>
      <c r="E20" s="10">
        <f>E16-E17-E18</f>
        <v>292</v>
      </c>
      <c r="F20" s="10"/>
      <c r="G20" s="10"/>
      <c r="H20" s="10"/>
      <c r="M20" s="3"/>
    </row>
    <row r="21" spans="3:13" s="1" customFormat="1" ht="12.75">
      <c r="C21" s="10"/>
      <c r="D21" s="10"/>
      <c r="E21" s="10"/>
      <c r="F21" s="10"/>
      <c r="G21" s="6"/>
      <c r="H21" s="6"/>
      <c r="I21" s="6"/>
      <c r="M21" s="3"/>
    </row>
    <row r="22" spans="2:16" s="1" customFormat="1" ht="12.75" customHeight="1">
      <c r="B22" s="1" t="s">
        <v>16</v>
      </c>
      <c r="G22" s="5"/>
      <c r="H22" s="5"/>
      <c r="I22" s="5"/>
      <c r="J22" s="5"/>
      <c r="K22" s="5"/>
      <c r="L22" s="5"/>
      <c r="M22" s="11"/>
      <c r="N22" s="5"/>
      <c r="O22" s="5"/>
      <c r="P22" s="5"/>
    </row>
    <row r="23" spans="2:16" s="1" customFormat="1" ht="12.75">
      <c r="B23" s="4" t="s">
        <v>1</v>
      </c>
      <c r="C23" s="1">
        <v>1988</v>
      </c>
      <c r="D23" s="1">
        <f aca="true" t="shared" si="7" ref="D23:P23">C23+1</f>
        <v>1989</v>
      </c>
      <c r="E23" s="1">
        <f t="shared" si="7"/>
        <v>1990</v>
      </c>
      <c r="F23" s="1">
        <f t="shared" si="7"/>
        <v>1991</v>
      </c>
      <c r="G23" s="1">
        <f t="shared" si="7"/>
        <v>1992</v>
      </c>
      <c r="H23" s="1">
        <f t="shared" si="7"/>
        <v>1993</v>
      </c>
      <c r="I23" s="1">
        <f t="shared" si="7"/>
        <v>1994</v>
      </c>
      <c r="J23" s="1">
        <f t="shared" si="7"/>
        <v>1995</v>
      </c>
      <c r="K23" s="1">
        <f t="shared" si="7"/>
        <v>1996</v>
      </c>
      <c r="L23" s="1">
        <f t="shared" si="7"/>
        <v>1997</v>
      </c>
      <c r="M23" s="3">
        <f t="shared" si="7"/>
        <v>1998</v>
      </c>
      <c r="N23" s="1">
        <f t="shared" si="7"/>
        <v>1999</v>
      </c>
      <c r="O23" s="1">
        <f t="shared" si="7"/>
        <v>2000</v>
      </c>
      <c r="P23" s="1">
        <f t="shared" si="7"/>
        <v>2001</v>
      </c>
    </row>
    <row r="24" spans="1:16" s="11" customFormat="1" ht="10.5" customHeight="1">
      <c r="A24" s="11">
        <v>1</v>
      </c>
      <c r="B24" s="11" t="s">
        <v>17</v>
      </c>
      <c r="C24" s="7">
        <v>16950</v>
      </c>
      <c r="D24" s="7">
        <v>16190</v>
      </c>
      <c r="E24" s="7">
        <v>15223</v>
      </c>
      <c r="F24" s="7">
        <v>16468</v>
      </c>
      <c r="G24" s="7">
        <v>17815</v>
      </c>
      <c r="H24" s="7">
        <v>19270</v>
      </c>
      <c r="I24" s="7">
        <v>20846</v>
      </c>
      <c r="J24" s="7">
        <v>22551</v>
      </c>
      <c r="K24" s="7">
        <v>24394</v>
      </c>
      <c r="L24" s="7">
        <v>26391</v>
      </c>
      <c r="M24" s="7">
        <v>28550</v>
      </c>
      <c r="N24" s="7">
        <f aca="true" t="shared" si="8" ref="N24:P25">M24*1.089</f>
        <v>31090.95</v>
      </c>
      <c r="O24" s="7">
        <f t="shared" si="8"/>
        <v>33858.04455</v>
      </c>
      <c r="P24" s="7">
        <f t="shared" si="8"/>
        <v>36871.410514949996</v>
      </c>
    </row>
    <row r="25" spans="1:16" ht="10.5" customHeight="1">
      <c r="A25" s="5">
        <f aca="true" t="shared" si="9" ref="A25:A47">A24+1</f>
        <v>2</v>
      </c>
      <c r="B25" s="11" t="s">
        <v>18</v>
      </c>
      <c r="C25" s="7">
        <v>2653</v>
      </c>
      <c r="D25" s="7">
        <v>2862</v>
      </c>
      <c r="E25" s="7">
        <v>3228</v>
      </c>
      <c r="F25" s="7">
        <v>3811</v>
      </c>
      <c r="G25" s="7">
        <v>4140</v>
      </c>
      <c r="H25" s="7">
        <v>4508</v>
      </c>
      <c r="I25" s="7">
        <v>4906</v>
      </c>
      <c r="J25" s="7">
        <v>5341</v>
      </c>
      <c r="K25" s="7">
        <v>5815</v>
      </c>
      <c r="L25" s="7">
        <v>6335</v>
      </c>
      <c r="M25" s="7">
        <v>6902</v>
      </c>
      <c r="N25" s="7">
        <f t="shared" si="8"/>
        <v>7516.277999999999</v>
      </c>
      <c r="O25" s="7">
        <f t="shared" si="8"/>
        <v>8185.226741999999</v>
      </c>
      <c r="P25" s="7">
        <f t="shared" si="8"/>
        <v>8913.711922038</v>
      </c>
    </row>
    <row r="26" spans="1:16" ht="12.75">
      <c r="A26" s="5">
        <f t="shared" si="9"/>
        <v>3</v>
      </c>
      <c r="B26" s="5" t="s">
        <v>19</v>
      </c>
      <c r="C26" s="6">
        <v>551</v>
      </c>
      <c r="D26" s="6">
        <v>2754</v>
      </c>
      <c r="E26" s="6">
        <v>2341</v>
      </c>
      <c r="F26" s="6">
        <v>1997</v>
      </c>
      <c r="G26" s="6">
        <v>1888</v>
      </c>
      <c r="H26" s="6">
        <v>1321</v>
      </c>
      <c r="I26" s="6">
        <v>1088</v>
      </c>
      <c r="J26" s="6">
        <v>806</v>
      </c>
      <c r="K26" s="6">
        <v>487</v>
      </c>
      <c r="L26" s="6">
        <v>21</v>
      </c>
      <c r="M26" s="7">
        <v>0</v>
      </c>
      <c r="N26" s="6">
        <v>0</v>
      </c>
      <c r="O26" s="6">
        <v>0</v>
      </c>
      <c r="P26" s="6">
        <v>0</v>
      </c>
    </row>
    <row r="27" spans="1:16" ht="12.75">
      <c r="A27" s="5">
        <f t="shared" si="9"/>
        <v>4</v>
      </c>
      <c r="B27" s="5" t="s">
        <v>20</v>
      </c>
      <c r="C27" s="6">
        <f aca="true" t="shared" si="10" ref="C27:P27">(C25-C26)*0.34</f>
        <v>714.6800000000001</v>
      </c>
      <c r="D27" s="6">
        <f t="shared" si="10"/>
        <v>36.720000000000006</v>
      </c>
      <c r="E27" s="6">
        <f t="shared" si="10"/>
        <v>301.58000000000004</v>
      </c>
      <c r="F27" s="6">
        <f t="shared" si="10"/>
        <v>616.76</v>
      </c>
      <c r="G27" s="6">
        <f t="shared" si="10"/>
        <v>765.6800000000001</v>
      </c>
      <c r="H27" s="6">
        <f t="shared" si="10"/>
        <v>1083.5800000000002</v>
      </c>
      <c r="I27" s="6">
        <f t="shared" si="10"/>
        <v>1298.1200000000001</v>
      </c>
      <c r="J27" s="6">
        <f t="shared" si="10"/>
        <v>1541.9</v>
      </c>
      <c r="K27" s="6">
        <f t="shared" si="10"/>
        <v>1811.5200000000002</v>
      </c>
      <c r="L27" s="6">
        <f t="shared" si="10"/>
        <v>2146.76</v>
      </c>
      <c r="M27" s="7">
        <f t="shared" si="10"/>
        <v>2346.6800000000003</v>
      </c>
      <c r="N27" s="6">
        <f t="shared" si="10"/>
        <v>2555.53452</v>
      </c>
      <c r="O27" s="6">
        <f t="shared" si="10"/>
        <v>2782.97709228</v>
      </c>
      <c r="P27" s="6">
        <f t="shared" si="10"/>
        <v>3030.6620534929198</v>
      </c>
    </row>
    <row r="28" spans="1:16" ht="12.75">
      <c r="A28" s="5">
        <f t="shared" si="9"/>
        <v>5</v>
      </c>
      <c r="B28" s="5" t="s">
        <v>21</v>
      </c>
      <c r="C28" s="6"/>
      <c r="D28" s="6">
        <v>352</v>
      </c>
      <c r="E28" s="6">
        <v>352</v>
      </c>
      <c r="F28" s="6">
        <v>352</v>
      </c>
      <c r="G28" s="6">
        <v>352</v>
      </c>
      <c r="H28" s="6">
        <v>352</v>
      </c>
      <c r="I28" s="6">
        <v>352</v>
      </c>
      <c r="J28" s="6">
        <v>352</v>
      </c>
      <c r="K28" s="6">
        <v>352</v>
      </c>
      <c r="L28" s="6">
        <v>352</v>
      </c>
      <c r="M28" s="7">
        <v>352</v>
      </c>
      <c r="N28" s="6">
        <v>352</v>
      </c>
      <c r="O28" s="6">
        <v>352</v>
      </c>
      <c r="P28" s="6">
        <v>352</v>
      </c>
    </row>
    <row r="29" spans="1:16" ht="12.75">
      <c r="A29" s="5">
        <f t="shared" si="9"/>
        <v>6</v>
      </c>
      <c r="B29" s="12" t="s">
        <v>22</v>
      </c>
      <c r="C29" s="13">
        <v>1360</v>
      </c>
      <c r="D29" s="13">
        <f>INT(D25-D26-D27-D28)</f>
        <v>-281</v>
      </c>
      <c r="E29" s="13">
        <f aca="true" t="shared" si="11" ref="E29:P29">E25-E26-E27-E28</f>
        <v>233.41999999999996</v>
      </c>
      <c r="F29" s="13">
        <f t="shared" si="11"/>
        <v>845.24</v>
      </c>
      <c r="G29" s="13">
        <f t="shared" si="11"/>
        <v>1134.32</v>
      </c>
      <c r="H29" s="13">
        <f t="shared" si="11"/>
        <v>1751.42</v>
      </c>
      <c r="I29" s="13">
        <f t="shared" si="11"/>
        <v>2167.88</v>
      </c>
      <c r="J29" s="13">
        <f t="shared" si="11"/>
        <v>2641.1</v>
      </c>
      <c r="K29" s="13">
        <f t="shared" si="11"/>
        <v>3164.4799999999996</v>
      </c>
      <c r="L29" s="13">
        <f t="shared" si="11"/>
        <v>3815.24</v>
      </c>
      <c r="M29" s="13">
        <f t="shared" si="11"/>
        <v>4203.32</v>
      </c>
      <c r="N29" s="13">
        <f t="shared" si="11"/>
        <v>4608.743479999999</v>
      </c>
      <c r="O29" s="13">
        <f t="shared" si="11"/>
        <v>5050.249649719999</v>
      </c>
      <c r="P29" s="13">
        <f t="shared" si="11"/>
        <v>5531.049868545079</v>
      </c>
    </row>
    <row r="30" spans="1:16" ht="12.75">
      <c r="A30" s="5">
        <f t="shared" si="9"/>
        <v>7</v>
      </c>
      <c r="B30" s="11" t="s">
        <v>23</v>
      </c>
      <c r="C30" s="7"/>
      <c r="D30" s="7">
        <f aca="true" t="shared" si="12" ref="D30:K30">D11-C11</f>
        <v>377.6999999999998</v>
      </c>
      <c r="E30" s="7">
        <f t="shared" si="12"/>
        <v>434.35499999999956</v>
      </c>
      <c r="F30" s="7">
        <f t="shared" si="12"/>
        <v>626.0503399999998</v>
      </c>
      <c r="G30" s="7">
        <f t="shared" si="12"/>
        <v>743.7478039199996</v>
      </c>
      <c r="H30" s="7">
        <f t="shared" si="12"/>
        <v>883.5723910569595</v>
      </c>
      <c r="I30" s="7">
        <f t="shared" si="12"/>
        <v>1049.6840005756676</v>
      </c>
      <c r="J30" s="7">
        <f t="shared" si="12"/>
        <v>1247.0245926838934</v>
      </c>
      <c r="K30" s="7">
        <f t="shared" si="12"/>
        <v>1481.465216108465</v>
      </c>
      <c r="L30" s="7">
        <f>K11*0.188</f>
        <v>1759.980676736857</v>
      </c>
      <c r="M30" s="7">
        <f>L11*0.188</f>
        <v>1376.16</v>
      </c>
      <c r="N30" s="7">
        <f>M11*0.188</f>
        <v>822.876</v>
      </c>
      <c r="O30" s="7">
        <f>N11*0.188</f>
        <v>103.212</v>
      </c>
      <c r="P30" s="7">
        <f>O11*0.188</f>
        <v>0</v>
      </c>
    </row>
    <row r="31" spans="1:16" ht="12.75">
      <c r="A31" s="5">
        <f t="shared" si="9"/>
        <v>8</v>
      </c>
      <c r="B31" s="11" t="s">
        <v>24</v>
      </c>
      <c r="C31" s="7"/>
      <c r="D31" s="7">
        <f>INT(D20)</f>
        <v>379</v>
      </c>
      <c r="E31" s="7">
        <f>E20</f>
        <v>292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5">
        <f t="shared" si="9"/>
        <v>9</v>
      </c>
      <c r="B32" s="12" t="s">
        <v>25</v>
      </c>
      <c r="C32" s="13"/>
      <c r="D32" s="13">
        <f>D29-D30+D31</f>
        <v>-279.6999999999998</v>
      </c>
      <c r="E32" s="13">
        <f>E29-E30+E31</f>
        <v>91.0650000000004</v>
      </c>
      <c r="F32" s="13">
        <f aca="true" t="shared" si="13" ref="F32:P32">F29-F30</f>
        <v>219.18966000000023</v>
      </c>
      <c r="G32" s="13">
        <f t="shared" si="13"/>
        <v>390.57219608000037</v>
      </c>
      <c r="H32" s="13">
        <f t="shared" si="13"/>
        <v>867.8476089430405</v>
      </c>
      <c r="I32" s="13">
        <f t="shared" si="13"/>
        <v>1118.1959994243325</v>
      </c>
      <c r="J32" s="13">
        <f t="shared" si="13"/>
        <v>1394.0754073161065</v>
      </c>
      <c r="K32" s="13">
        <f t="shared" si="13"/>
        <v>1683.0147838915345</v>
      </c>
      <c r="L32" s="13">
        <f t="shared" si="13"/>
        <v>2055.2593232631425</v>
      </c>
      <c r="M32" s="13">
        <f t="shared" si="13"/>
        <v>2827.16</v>
      </c>
      <c r="N32" s="13">
        <f t="shared" si="13"/>
        <v>3785.867479999999</v>
      </c>
      <c r="O32" s="13">
        <f t="shared" si="13"/>
        <v>4947.037649719999</v>
      </c>
      <c r="P32" s="13">
        <f t="shared" si="13"/>
        <v>5531.049868545079</v>
      </c>
    </row>
    <row r="33" spans="1:16" ht="12.75">
      <c r="A33" s="5">
        <f t="shared" si="9"/>
        <v>10</v>
      </c>
      <c r="B33" s="5" t="s">
        <v>26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  <c r="N33" s="6"/>
      <c r="O33" s="6"/>
      <c r="P33" s="6"/>
    </row>
    <row r="34" spans="2:16" ht="12.75">
      <c r="B34" s="5" t="s">
        <v>27</v>
      </c>
      <c r="C34" s="6">
        <v>730</v>
      </c>
      <c r="D34" s="6">
        <v>1159</v>
      </c>
      <c r="E34" s="6">
        <v>991</v>
      </c>
      <c r="F34" s="6">
        <v>899</v>
      </c>
      <c r="G34" s="6">
        <v>907</v>
      </c>
      <c r="H34" s="6">
        <v>920</v>
      </c>
      <c r="I34" s="6">
        <v>924</v>
      </c>
      <c r="J34" s="6">
        <v>928</v>
      </c>
      <c r="K34" s="6">
        <v>933</v>
      </c>
      <c r="L34" s="6">
        <v>939</v>
      </c>
      <c r="M34" s="7">
        <v>945</v>
      </c>
      <c r="N34" s="6">
        <v>945</v>
      </c>
      <c r="O34" s="6">
        <v>945</v>
      </c>
      <c r="P34" s="6">
        <v>945</v>
      </c>
    </row>
    <row r="35" spans="1:16" ht="12.75">
      <c r="A35" s="5">
        <v>11</v>
      </c>
      <c r="B35" s="5" t="s">
        <v>28</v>
      </c>
      <c r="C35" s="6">
        <v>1142</v>
      </c>
      <c r="D35" s="6">
        <v>774</v>
      </c>
      <c r="E35" s="6">
        <v>556</v>
      </c>
      <c r="F35" s="6">
        <v>555</v>
      </c>
      <c r="G35" s="6">
        <v>572</v>
      </c>
      <c r="H35" s="6">
        <v>586</v>
      </c>
      <c r="I35" s="6">
        <v>598</v>
      </c>
      <c r="J35" s="6">
        <v>618</v>
      </c>
      <c r="K35" s="6">
        <v>638</v>
      </c>
      <c r="L35" s="6">
        <v>664</v>
      </c>
      <c r="M35" s="7">
        <v>678</v>
      </c>
      <c r="N35" s="6">
        <f aca="true" t="shared" si="14" ref="N35:P36">M35*1.089</f>
        <v>738.342</v>
      </c>
      <c r="O35" s="6">
        <f t="shared" si="14"/>
        <v>804.054438</v>
      </c>
      <c r="P35" s="6">
        <f t="shared" si="14"/>
        <v>875.6152829819999</v>
      </c>
    </row>
    <row r="36" spans="1:16" ht="12.75">
      <c r="A36" s="5">
        <f t="shared" si="9"/>
        <v>12</v>
      </c>
      <c r="B36" s="5" t="s">
        <v>29</v>
      </c>
      <c r="C36" s="6"/>
      <c r="D36" s="6">
        <v>79</v>
      </c>
      <c r="E36" s="6">
        <v>84</v>
      </c>
      <c r="F36" s="6">
        <v>86</v>
      </c>
      <c r="G36" s="6">
        <v>95</v>
      </c>
      <c r="H36" s="6">
        <v>102</v>
      </c>
      <c r="I36" s="6">
        <v>111</v>
      </c>
      <c r="J36" s="6">
        <v>119</v>
      </c>
      <c r="K36" s="6">
        <v>129</v>
      </c>
      <c r="L36" s="6">
        <v>140</v>
      </c>
      <c r="M36" s="7">
        <v>151</v>
      </c>
      <c r="N36" s="6">
        <f t="shared" si="14"/>
        <v>164.439</v>
      </c>
      <c r="O36" s="6">
        <f t="shared" si="14"/>
        <v>179.07407099999998</v>
      </c>
      <c r="P36" s="6">
        <f t="shared" si="14"/>
        <v>195.01166331899998</v>
      </c>
    </row>
    <row r="37" spans="1:16" ht="12.75">
      <c r="A37" s="5">
        <f t="shared" si="9"/>
        <v>13</v>
      </c>
      <c r="B37" s="5" t="s">
        <v>30</v>
      </c>
      <c r="C37" s="6"/>
      <c r="D37" s="6">
        <f>D17</f>
        <v>3121</v>
      </c>
      <c r="E37" s="6">
        <f>E17</f>
        <v>2408</v>
      </c>
      <c r="F37" s="6"/>
      <c r="G37" s="6"/>
      <c r="H37" s="6"/>
      <c r="I37" s="6"/>
      <c r="J37" s="6"/>
      <c r="K37" s="6"/>
      <c r="L37" s="6"/>
      <c r="M37" s="7"/>
      <c r="N37" s="6"/>
      <c r="O37" s="6"/>
      <c r="P37" s="6"/>
    </row>
    <row r="38" spans="1:16" ht="12.75">
      <c r="A38" s="5">
        <f t="shared" si="9"/>
        <v>14</v>
      </c>
      <c r="B38" s="5" t="s">
        <v>31</v>
      </c>
      <c r="C38" s="6"/>
      <c r="D38" s="6">
        <v>206</v>
      </c>
      <c r="E38" s="6">
        <v>237</v>
      </c>
      <c r="F38" s="6">
        <v>312</v>
      </c>
      <c r="G38" s="6">
        <v>366</v>
      </c>
      <c r="H38" s="6"/>
      <c r="I38" s="6"/>
      <c r="J38" s="6"/>
      <c r="K38" s="6"/>
      <c r="L38" s="6"/>
      <c r="M38" s="7"/>
      <c r="N38" s="6"/>
      <c r="O38" s="6"/>
      <c r="P38" s="6"/>
    </row>
    <row r="39" spans="1:16" ht="12.75">
      <c r="A39" s="5">
        <f t="shared" si="9"/>
        <v>15</v>
      </c>
      <c r="B39" s="5" t="s">
        <v>32</v>
      </c>
      <c r="C39" s="6"/>
      <c r="D39" s="6">
        <f aca="true" t="shared" si="15" ref="D39:P39">D8+D9-C8-C9</f>
        <v>-3731</v>
      </c>
      <c r="E39" s="6">
        <f t="shared" si="15"/>
        <v>-3521</v>
      </c>
      <c r="F39" s="6">
        <f t="shared" si="15"/>
        <v>-1415</v>
      </c>
      <c r="G39" s="6">
        <f t="shared" si="15"/>
        <v>-1740</v>
      </c>
      <c r="H39" s="6">
        <f t="shared" si="15"/>
        <v>-1983</v>
      </c>
      <c r="I39" s="6">
        <f t="shared" si="15"/>
        <v>-2383</v>
      </c>
      <c r="J39" s="6">
        <f t="shared" si="15"/>
        <v>-2832</v>
      </c>
      <c r="K39" s="6">
        <f t="shared" si="15"/>
        <v>-3330</v>
      </c>
      <c r="L39" s="6">
        <f t="shared" si="15"/>
        <v>-149</v>
      </c>
      <c r="M39" s="7">
        <f t="shared" si="15"/>
        <v>0</v>
      </c>
      <c r="N39" s="6">
        <f t="shared" si="15"/>
        <v>0</v>
      </c>
      <c r="O39" s="6">
        <f t="shared" si="15"/>
        <v>0</v>
      </c>
      <c r="P39" s="6">
        <f t="shared" si="15"/>
        <v>0</v>
      </c>
    </row>
    <row r="40" spans="1:16" ht="12.75">
      <c r="A40" s="5">
        <f t="shared" si="9"/>
        <v>16</v>
      </c>
      <c r="B40" s="11" t="s">
        <v>33</v>
      </c>
      <c r="C40" s="6"/>
      <c r="D40" s="6">
        <f aca="true" t="shared" si="16" ref="D40:P40">D30</f>
        <v>377.6999999999998</v>
      </c>
      <c r="E40" s="6">
        <f t="shared" si="16"/>
        <v>434.35499999999956</v>
      </c>
      <c r="F40" s="6">
        <f t="shared" si="16"/>
        <v>626.0503399999998</v>
      </c>
      <c r="G40" s="6">
        <f t="shared" si="16"/>
        <v>743.7478039199996</v>
      </c>
      <c r="H40" s="6">
        <f t="shared" si="16"/>
        <v>883.5723910569595</v>
      </c>
      <c r="I40" s="6">
        <f t="shared" si="16"/>
        <v>1049.6840005756676</v>
      </c>
      <c r="J40" s="6">
        <f t="shared" si="16"/>
        <v>1247.0245926838934</v>
      </c>
      <c r="K40" s="6">
        <f t="shared" si="16"/>
        <v>1481.465216108465</v>
      </c>
      <c r="L40" s="6">
        <f t="shared" si="16"/>
        <v>1759.980676736857</v>
      </c>
      <c r="M40" s="7">
        <f t="shared" si="16"/>
        <v>1376.16</v>
      </c>
      <c r="N40" s="6">
        <f t="shared" si="16"/>
        <v>822.876</v>
      </c>
      <c r="O40" s="6">
        <f t="shared" si="16"/>
        <v>103.212</v>
      </c>
      <c r="P40" s="6">
        <f t="shared" si="16"/>
        <v>0</v>
      </c>
    </row>
    <row r="41" spans="1:16" ht="12.75">
      <c r="A41" s="5">
        <f t="shared" si="9"/>
        <v>17</v>
      </c>
      <c r="B41" s="5" t="s">
        <v>34</v>
      </c>
      <c r="C41" s="6"/>
      <c r="D41" s="6"/>
      <c r="E41" s="6"/>
      <c r="F41" s="6"/>
      <c r="G41" s="6"/>
      <c r="H41" s="6"/>
      <c r="I41" s="6"/>
      <c r="J41" s="6"/>
      <c r="K41" s="6"/>
      <c r="L41" s="6">
        <f>L11-K11*1.188</f>
        <v>-3801.5800210818416</v>
      </c>
      <c r="M41" s="7">
        <f>M11-L11*1.188</f>
        <v>-4319.16</v>
      </c>
      <c r="N41" s="6">
        <f>N11-M11*1.188</f>
        <v>-4650.876</v>
      </c>
      <c r="O41" s="6">
        <f>O11-N11*1.188</f>
        <v>-652.212</v>
      </c>
      <c r="P41" s="6">
        <f>P11-O11*1.188</f>
        <v>0</v>
      </c>
    </row>
    <row r="42" spans="1:16" ht="12.75">
      <c r="A42" s="5">
        <f t="shared" si="9"/>
        <v>18</v>
      </c>
      <c r="B42" s="8" t="s">
        <v>35</v>
      </c>
      <c r="C42" s="9"/>
      <c r="D42" s="9">
        <f aca="true" t="shared" si="17" ref="D42:P42">D32+D34-D35-D36+D37+D38+D39+D40+D41</f>
        <v>0</v>
      </c>
      <c r="E42" s="9">
        <f t="shared" si="17"/>
        <v>0.42000000000007276</v>
      </c>
      <c r="F42" s="9">
        <f t="shared" si="17"/>
        <v>0.2400000000000091</v>
      </c>
      <c r="G42" s="9">
        <f t="shared" si="17"/>
        <v>0.31999999999993634</v>
      </c>
      <c r="H42" s="9">
        <f t="shared" si="17"/>
        <v>0.42000000000007276</v>
      </c>
      <c r="I42" s="9">
        <f t="shared" si="17"/>
        <v>-0.11999999999989086</v>
      </c>
      <c r="J42" s="9">
        <f t="shared" si="17"/>
        <v>0.09999999999990905</v>
      </c>
      <c r="K42" s="9">
        <f t="shared" si="17"/>
        <v>0.47999999999956344</v>
      </c>
      <c r="L42" s="9">
        <f t="shared" si="17"/>
        <v>-0.34002108184176905</v>
      </c>
      <c r="M42" s="9">
        <f t="shared" si="17"/>
        <v>0.15999999999985448</v>
      </c>
      <c r="N42" s="9">
        <f t="shared" si="17"/>
        <v>0.08647999999902822</v>
      </c>
      <c r="O42" s="9">
        <f t="shared" si="17"/>
        <v>4359.909140719999</v>
      </c>
      <c r="P42" s="9">
        <f t="shared" si="17"/>
        <v>5405.422922244079</v>
      </c>
    </row>
    <row r="43" spans="1:16" ht="12.75">
      <c r="A43" s="5">
        <f t="shared" si="9"/>
        <v>19</v>
      </c>
      <c r="B43" s="5" t="s">
        <v>36</v>
      </c>
      <c r="C43" s="6"/>
      <c r="D43" s="6">
        <f aca="true" t="shared" si="18" ref="D43:P43">0.66*(D26-D38)</f>
        <v>1681.68</v>
      </c>
      <c r="E43" s="6">
        <f t="shared" si="18"/>
        <v>1388.64</v>
      </c>
      <c r="F43" s="6">
        <f t="shared" si="18"/>
        <v>1112.1000000000001</v>
      </c>
      <c r="G43" s="6">
        <f t="shared" si="18"/>
        <v>1004.5200000000001</v>
      </c>
      <c r="H43" s="6">
        <f t="shared" si="18"/>
        <v>871.86</v>
      </c>
      <c r="I43" s="6">
        <f t="shared" si="18"/>
        <v>718.08</v>
      </c>
      <c r="J43" s="6">
        <f t="shared" si="18"/>
        <v>531.96</v>
      </c>
      <c r="K43" s="6">
        <f t="shared" si="18"/>
        <v>321.42</v>
      </c>
      <c r="L43" s="6">
        <f t="shared" si="18"/>
        <v>13.860000000000001</v>
      </c>
      <c r="M43" s="7">
        <f t="shared" si="18"/>
        <v>0</v>
      </c>
      <c r="N43" s="6">
        <f t="shared" si="18"/>
        <v>0</v>
      </c>
      <c r="O43" s="6">
        <f t="shared" si="18"/>
        <v>0</v>
      </c>
      <c r="P43" s="6">
        <f t="shared" si="18"/>
        <v>0</v>
      </c>
    </row>
    <row r="44" spans="1:16" ht="12.75">
      <c r="A44" s="5">
        <f t="shared" si="9"/>
        <v>20</v>
      </c>
      <c r="B44" s="5" t="s">
        <v>56</v>
      </c>
      <c r="C44" s="6"/>
      <c r="D44" s="6">
        <f aca="true" t="shared" si="19" ref="D44:P44">0.34*D38</f>
        <v>70.04</v>
      </c>
      <c r="E44" s="6">
        <f t="shared" si="19"/>
        <v>80.58000000000001</v>
      </c>
      <c r="F44" s="6">
        <f t="shared" si="19"/>
        <v>106.08000000000001</v>
      </c>
      <c r="G44" s="6">
        <f t="shared" si="19"/>
        <v>124.44000000000001</v>
      </c>
      <c r="H44" s="6">
        <f t="shared" si="19"/>
        <v>0</v>
      </c>
      <c r="I44" s="6">
        <f t="shared" si="19"/>
        <v>0</v>
      </c>
      <c r="J44" s="6">
        <f t="shared" si="19"/>
        <v>0</v>
      </c>
      <c r="K44" s="6">
        <f t="shared" si="19"/>
        <v>0</v>
      </c>
      <c r="L44" s="6">
        <f t="shared" si="19"/>
        <v>0</v>
      </c>
      <c r="M44" s="7">
        <f t="shared" si="19"/>
        <v>0</v>
      </c>
      <c r="N44" s="6">
        <f t="shared" si="19"/>
        <v>0</v>
      </c>
      <c r="O44" s="6">
        <f t="shared" si="19"/>
        <v>0</v>
      </c>
      <c r="P44" s="6">
        <f t="shared" si="19"/>
        <v>0</v>
      </c>
    </row>
    <row r="45" spans="1:16" ht="12.75">
      <c r="A45" s="5">
        <f t="shared" si="9"/>
        <v>21</v>
      </c>
      <c r="B45" s="11" t="s">
        <v>37</v>
      </c>
      <c r="C45" s="7"/>
      <c r="D45" s="7">
        <f aca="true" t="shared" si="20" ref="D45:L45">-D39</f>
        <v>3731</v>
      </c>
      <c r="E45" s="7">
        <f t="shared" si="20"/>
        <v>3521</v>
      </c>
      <c r="F45" s="7">
        <f t="shared" si="20"/>
        <v>1415</v>
      </c>
      <c r="G45" s="7">
        <f t="shared" si="20"/>
        <v>1740</v>
      </c>
      <c r="H45" s="7">
        <f t="shared" si="20"/>
        <v>1983</v>
      </c>
      <c r="I45" s="7">
        <f t="shared" si="20"/>
        <v>2383</v>
      </c>
      <c r="J45" s="7">
        <f t="shared" si="20"/>
        <v>2832</v>
      </c>
      <c r="K45" s="7">
        <f t="shared" si="20"/>
        <v>3330</v>
      </c>
      <c r="L45" s="7">
        <f t="shared" si="20"/>
        <v>149</v>
      </c>
      <c r="M45" s="7"/>
      <c r="N45" s="7"/>
      <c r="O45" s="7"/>
      <c r="P45" s="7"/>
    </row>
    <row r="46" spans="1:16" ht="12.75">
      <c r="A46" s="5">
        <f t="shared" si="9"/>
        <v>22</v>
      </c>
      <c r="B46" s="5" t="s">
        <v>38</v>
      </c>
      <c r="C46" s="7"/>
      <c r="D46" s="7"/>
      <c r="E46" s="7"/>
      <c r="F46" s="7"/>
      <c r="G46" s="7"/>
      <c r="H46" s="7"/>
      <c r="I46" s="7"/>
      <c r="J46" s="7"/>
      <c r="K46" s="7"/>
      <c r="L46" s="7">
        <f>-L41</f>
        <v>3801.5800210818416</v>
      </c>
      <c r="M46" s="7">
        <f>-M41</f>
        <v>4319.16</v>
      </c>
      <c r="N46" s="7">
        <f>-N41</f>
        <v>4650.876</v>
      </c>
      <c r="O46" s="7">
        <f>-O41</f>
        <v>652.212</v>
      </c>
      <c r="P46" s="7">
        <f>-P41</f>
        <v>0</v>
      </c>
    </row>
    <row r="47" spans="1:16" ht="12.75">
      <c r="A47" s="5">
        <f t="shared" si="9"/>
        <v>23</v>
      </c>
      <c r="B47" s="8" t="s">
        <v>39</v>
      </c>
      <c r="C47" s="9"/>
      <c r="D47" s="9">
        <f aca="true" t="shared" si="21" ref="D47:P47">D42+D43-D44+D45+D46</f>
        <v>5342.64</v>
      </c>
      <c r="E47" s="9">
        <f t="shared" si="21"/>
        <v>4829.4800000000005</v>
      </c>
      <c r="F47" s="9">
        <f t="shared" si="21"/>
        <v>2421.26</v>
      </c>
      <c r="G47" s="9">
        <f t="shared" si="21"/>
        <v>2620.4</v>
      </c>
      <c r="H47" s="9">
        <f t="shared" si="21"/>
        <v>2855.28</v>
      </c>
      <c r="I47" s="9">
        <f t="shared" si="21"/>
        <v>3100.96</v>
      </c>
      <c r="J47" s="9">
        <f t="shared" si="21"/>
        <v>3364.06</v>
      </c>
      <c r="K47" s="9">
        <f t="shared" si="21"/>
        <v>3651.8999999999996</v>
      </c>
      <c r="L47" s="9">
        <f t="shared" si="21"/>
        <v>3964.1</v>
      </c>
      <c r="M47" s="9">
        <f t="shared" si="21"/>
        <v>4319.32</v>
      </c>
      <c r="N47" s="9">
        <f t="shared" si="21"/>
        <v>4650.962479999999</v>
      </c>
      <c r="O47" s="9">
        <f t="shared" si="21"/>
        <v>5012.121140719999</v>
      </c>
      <c r="P47" s="9">
        <f t="shared" si="21"/>
        <v>5405.422922244079</v>
      </c>
    </row>
    <row r="48" spans="2:16" ht="12.75">
      <c r="B48" s="1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2:15" ht="13.5" thickBot="1">
      <c r="B49" s="1" t="s">
        <v>40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6" s="1" customFormat="1" ht="12.75">
      <c r="A50" s="27"/>
      <c r="B50" s="28" t="s">
        <v>1</v>
      </c>
      <c r="C50" s="29">
        <v>1988</v>
      </c>
      <c r="D50" s="29">
        <f aca="true" t="shared" si="22" ref="D50:P50">C50+1</f>
        <v>1989</v>
      </c>
      <c r="E50" s="29">
        <f t="shared" si="22"/>
        <v>1990</v>
      </c>
      <c r="F50" s="29">
        <f t="shared" si="22"/>
        <v>1991</v>
      </c>
      <c r="G50" s="29">
        <f t="shared" si="22"/>
        <v>1992</v>
      </c>
      <c r="H50" s="29">
        <f t="shared" si="22"/>
        <v>1993</v>
      </c>
      <c r="I50" s="29">
        <f t="shared" si="22"/>
        <v>1994</v>
      </c>
      <c r="J50" s="29">
        <f t="shared" si="22"/>
        <v>1995</v>
      </c>
      <c r="K50" s="29">
        <f t="shared" si="22"/>
        <v>1996</v>
      </c>
      <c r="L50" s="29">
        <f t="shared" si="22"/>
        <v>1997</v>
      </c>
      <c r="M50" s="29">
        <f t="shared" si="22"/>
        <v>1998</v>
      </c>
      <c r="N50" s="29">
        <f t="shared" si="22"/>
        <v>1999</v>
      </c>
      <c r="O50" s="29">
        <f t="shared" si="22"/>
        <v>2000</v>
      </c>
      <c r="P50" s="30">
        <f t="shared" si="22"/>
        <v>2001</v>
      </c>
    </row>
    <row r="51" spans="1:17" s="14" customFormat="1" ht="12.75">
      <c r="A51" s="31">
        <v>1</v>
      </c>
      <c r="B51" s="20" t="s">
        <v>41</v>
      </c>
      <c r="C51" s="19"/>
      <c r="D51" s="19">
        <f aca="true" t="shared" si="23" ref="D51:P51">D42</f>
        <v>0</v>
      </c>
      <c r="E51" s="19">
        <f t="shared" si="23"/>
        <v>0.42000000000007276</v>
      </c>
      <c r="F51" s="19">
        <f t="shared" si="23"/>
        <v>0.2400000000000091</v>
      </c>
      <c r="G51" s="19">
        <f t="shared" si="23"/>
        <v>0.31999999999993634</v>
      </c>
      <c r="H51" s="19">
        <f t="shared" si="23"/>
        <v>0.42000000000007276</v>
      </c>
      <c r="I51" s="19">
        <f t="shared" si="23"/>
        <v>-0.11999999999989086</v>
      </c>
      <c r="J51" s="19">
        <f t="shared" si="23"/>
        <v>0.09999999999990905</v>
      </c>
      <c r="K51" s="19">
        <f t="shared" si="23"/>
        <v>0.47999999999956344</v>
      </c>
      <c r="L51" s="19">
        <f t="shared" si="23"/>
        <v>-0.34002108184176905</v>
      </c>
      <c r="M51" s="19">
        <f t="shared" si="23"/>
        <v>0.15999999999985448</v>
      </c>
      <c r="N51" s="19">
        <f t="shared" si="23"/>
        <v>0.08647999999902822</v>
      </c>
      <c r="O51" s="19">
        <f t="shared" si="23"/>
        <v>4359.909140719999</v>
      </c>
      <c r="P51" s="25">
        <f t="shared" si="23"/>
        <v>5405.422922244079</v>
      </c>
      <c r="Q51" s="15"/>
    </row>
    <row r="52" spans="1:16" ht="12.75">
      <c r="A52" s="32"/>
      <c r="B52" s="11" t="s">
        <v>42</v>
      </c>
      <c r="C52" s="7"/>
      <c r="D52" s="33">
        <v>0.085</v>
      </c>
      <c r="E52" s="33">
        <v>0.085</v>
      </c>
      <c r="F52" s="33">
        <v>0.085</v>
      </c>
      <c r="G52" s="33">
        <v>0.085</v>
      </c>
      <c r="H52" s="33">
        <v>0.085</v>
      </c>
      <c r="I52" s="33">
        <v>0.085</v>
      </c>
      <c r="J52" s="33">
        <v>0.085</v>
      </c>
      <c r="K52" s="33">
        <v>0.085</v>
      </c>
      <c r="L52" s="33">
        <v>0.085</v>
      </c>
      <c r="M52" s="33">
        <v>0.085</v>
      </c>
      <c r="N52" s="33">
        <v>0.085</v>
      </c>
      <c r="O52" s="33">
        <v>0.085</v>
      </c>
      <c r="P52" s="34">
        <v>0.085</v>
      </c>
    </row>
    <row r="53" spans="1:16" ht="12.75">
      <c r="A53" s="32"/>
      <c r="B53" s="11" t="s">
        <v>43</v>
      </c>
      <c r="C53" s="7"/>
      <c r="D53" s="33">
        <v>0.08</v>
      </c>
      <c r="E53" s="33">
        <v>0.08</v>
      </c>
      <c r="F53" s="33">
        <v>0.08</v>
      </c>
      <c r="G53" s="33">
        <v>0.08</v>
      </c>
      <c r="H53" s="33">
        <v>0.08</v>
      </c>
      <c r="I53" s="33">
        <v>0.08</v>
      </c>
      <c r="J53" s="33">
        <v>0.08</v>
      </c>
      <c r="K53" s="33">
        <v>0.08</v>
      </c>
      <c r="L53" s="33">
        <v>0.08</v>
      </c>
      <c r="M53" s="33">
        <v>0.08</v>
      </c>
      <c r="N53" s="33">
        <v>0.08</v>
      </c>
      <c r="O53" s="33">
        <v>0.08</v>
      </c>
      <c r="P53" s="34">
        <v>0.08</v>
      </c>
    </row>
    <row r="54" spans="1:16" ht="12.75">
      <c r="A54" s="32"/>
      <c r="B54" s="11" t="s">
        <v>44</v>
      </c>
      <c r="C54" s="7"/>
      <c r="D54" s="35">
        <v>0.65</v>
      </c>
      <c r="E54" s="35">
        <v>0.65</v>
      </c>
      <c r="F54" s="35">
        <v>0.65</v>
      </c>
      <c r="G54" s="35">
        <v>0.65</v>
      </c>
      <c r="H54" s="35">
        <v>0.65</v>
      </c>
      <c r="I54" s="35">
        <v>0.65</v>
      </c>
      <c r="J54" s="35">
        <v>0.65</v>
      </c>
      <c r="K54" s="35">
        <v>0.65</v>
      </c>
      <c r="L54" s="35">
        <v>0.65</v>
      </c>
      <c r="M54" s="35">
        <v>0.65</v>
      </c>
      <c r="N54" s="35">
        <v>0.65</v>
      </c>
      <c r="O54" s="35">
        <v>0.65</v>
      </c>
      <c r="P54" s="36">
        <v>0.65</v>
      </c>
    </row>
    <row r="55" spans="1:16" ht="12" customHeight="1">
      <c r="A55" s="32"/>
      <c r="B55" s="11" t="s">
        <v>45</v>
      </c>
      <c r="C55" s="7"/>
      <c r="D55" s="35">
        <f aca="true" t="shared" si="24" ref="D55:P55">D54*(C68)/C59</f>
        <v>3.2158883326840293</v>
      </c>
      <c r="E55" s="35">
        <f t="shared" si="24"/>
        <v>2.3192212284953975</v>
      </c>
      <c r="F55" s="35">
        <f t="shared" si="24"/>
        <v>1.7879646979558148</v>
      </c>
      <c r="G55" s="35">
        <f t="shared" si="24"/>
        <v>1.5439204036926164</v>
      </c>
      <c r="H55" s="35">
        <f t="shared" si="24"/>
        <v>1.3522061872033968</v>
      </c>
      <c r="I55" s="35">
        <f t="shared" si="24"/>
        <v>1.2016105655574427</v>
      </c>
      <c r="J55" s="35">
        <f t="shared" si="24"/>
        <v>1.0766688558778619</v>
      </c>
      <c r="K55" s="35">
        <f t="shared" si="24"/>
        <v>0.9710851625177775</v>
      </c>
      <c r="L55" s="35">
        <f t="shared" si="24"/>
        <v>0.8805513282856885</v>
      </c>
      <c r="M55" s="35">
        <f t="shared" si="24"/>
        <v>0.80061886021803</v>
      </c>
      <c r="N55" s="35">
        <f t="shared" si="24"/>
        <v>0.7268258559499523</v>
      </c>
      <c r="O55" s="35">
        <f t="shared" si="24"/>
        <v>0.658389777951499</v>
      </c>
      <c r="P55" s="36">
        <f t="shared" si="24"/>
        <v>0.65</v>
      </c>
    </row>
    <row r="56" spans="1:16" s="15" customFormat="1" ht="12" customHeight="1">
      <c r="A56" s="31">
        <v>2</v>
      </c>
      <c r="B56" s="20" t="s">
        <v>46</v>
      </c>
      <c r="C56" s="19"/>
      <c r="D56" s="21">
        <f aca="true" t="shared" si="25" ref="D56:P56">D52+D53*D55</f>
        <v>0.34227106661472234</v>
      </c>
      <c r="E56" s="21">
        <f t="shared" si="25"/>
        <v>0.2705376982796318</v>
      </c>
      <c r="F56" s="21">
        <f t="shared" si="25"/>
        <v>0.2280371758364652</v>
      </c>
      <c r="G56" s="21">
        <f t="shared" si="25"/>
        <v>0.2085136322954093</v>
      </c>
      <c r="H56" s="21">
        <f t="shared" si="25"/>
        <v>0.19317649497627176</v>
      </c>
      <c r="I56" s="21">
        <f t="shared" si="25"/>
        <v>0.18112884524459544</v>
      </c>
      <c r="J56" s="21">
        <f t="shared" si="25"/>
        <v>0.17113350847022896</v>
      </c>
      <c r="K56" s="21">
        <f t="shared" si="25"/>
        <v>0.1626868130014222</v>
      </c>
      <c r="L56" s="21">
        <f t="shared" si="25"/>
        <v>0.1554441062628551</v>
      </c>
      <c r="M56" s="21">
        <f t="shared" si="25"/>
        <v>0.1490495088174424</v>
      </c>
      <c r="N56" s="21">
        <f t="shared" si="25"/>
        <v>0.1431460684759962</v>
      </c>
      <c r="O56" s="21">
        <f t="shared" si="25"/>
        <v>0.13767118223611993</v>
      </c>
      <c r="P56" s="22">
        <f t="shared" si="25"/>
        <v>0.137</v>
      </c>
    </row>
    <row r="57" spans="1:16" ht="12" customHeight="1">
      <c r="A57" s="32"/>
      <c r="B57" s="11" t="s">
        <v>47</v>
      </c>
      <c r="C57" s="7"/>
      <c r="D57" s="7">
        <f>(1+D56)</f>
        <v>1.3422710666147224</v>
      </c>
      <c r="E57" s="7">
        <f aca="true" t="shared" si="26" ref="E57:P57">(1+E56)*D57</f>
        <v>1.7054059914440158</v>
      </c>
      <c r="F57" s="7">
        <f t="shared" si="26"/>
        <v>2.094301957387496</v>
      </c>
      <c r="G57" s="7">
        <f t="shared" si="26"/>
        <v>2.5309924656457485</v>
      </c>
      <c r="H57" s="7">
        <f t="shared" si="26"/>
        <v>3.019920718970546</v>
      </c>
      <c r="I57" s="7">
        <f t="shared" si="26"/>
        <v>3.5669154715279094</v>
      </c>
      <c r="J57" s="7">
        <f t="shared" si="26"/>
        <v>4.177334230587221</v>
      </c>
      <c r="K57" s="7">
        <f t="shared" si="26"/>
        <v>4.856931423403205</v>
      </c>
      <c r="L57" s="7">
        <f t="shared" si="26"/>
        <v>5.611912787694093</v>
      </c>
      <c r="M57" s="7">
        <f t="shared" si="26"/>
        <v>6.4483656322262215</v>
      </c>
      <c r="N57" s="7">
        <f t="shared" si="26"/>
        <v>7.371423820575137</v>
      </c>
      <c r="O57" s="7">
        <f t="shared" si="26"/>
        <v>8.38625645271721</v>
      </c>
      <c r="P57" s="23">
        <f t="shared" si="26"/>
        <v>9.535173586739468</v>
      </c>
    </row>
    <row r="58" spans="1:17" ht="12" customHeight="1">
      <c r="A58" s="32"/>
      <c r="B58" s="11" t="s">
        <v>48</v>
      </c>
      <c r="C58" s="7"/>
      <c r="D58" s="7">
        <f aca="true" t="shared" si="27" ref="D58:O58">(D51)/D57</f>
        <v>0</v>
      </c>
      <c r="E58" s="7">
        <f t="shared" si="27"/>
        <v>0.24627566814424454</v>
      </c>
      <c r="F58" s="7">
        <f t="shared" si="27"/>
        <v>0.11459665553643147</v>
      </c>
      <c r="G58" s="7">
        <f t="shared" si="27"/>
        <v>0.1264326165895135</v>
      </c>
      <c r="H58" s="7">
        <f t="shared" si="27"/>
        <v>0.13907649871790198</v>
      </c>
      <c r="I58" s="7">
        <f t="shared" si="27"/>
        <v>-0.03364251296610854</v>
      </c>
      <c r="J58" s="7">
        <f t="shared" si="27"/>
        <v>0.023938711742931742</v>
      </c>
      <c r="K58" s="7">
        <f t="shared" si="27"/>
        <v>0.0988278314342005</v>
      </c>
      <c r="L58" s="7">
        <f t="shared" si="27"/>
        <v>-0.06058916000750646</v>
      </c>
      <c r="M58" s="7">
        <f t="shared" si="27"/>
        <v>0.024812488795647958</v>
      </c>
      <c r="N58" s="7">
        <f t="shared" si="27"/>
        <v>0.011731790506692211</v>
      </c>
      <c r="O58" s="7">
        <f t="shared" si="27"/>
        <v>519.8874092751308</v>
      </c>
      <c r="P58" s="23">
        <f>(P51+Q58)/P57</f>
        <v>5509.036860141195</v>
      </c>
      <c r="Q58" s="5">
        <f>P51*1.02/(P56-0.02)</f>
        <v>47124.19983494838</v>
      </c>
    </row>
    <row r="59" spans="1:16" s="15" customFormat="1" ht="12" customHeight="1">
      <c r="A59" s="31">
        <v>3</v>
      </c>
      <c r="B59" s="20" t="s">
        <v>57</v>
      </c>
      <c r="C59" s="17">
        <f>SUM(D58:P58)</f>
        <v>6029.61573000482</v>
      </c>
      <c r="D59" s="19">
        <f aca="true" t="shared" si="28" ref="D59:P59">C59*(1+D56)-(D51)</f>
        <v>8093.378737190477</v>
      </c>
      <c r="E59" s="19">
        <f t="shared" si="28"/>
        <v>10282.522792055302</v>
      </c>
      <c r="F59" s="19">
        <f t="shared" si="28"/>
        <v>12627.08025002968</v>
      </c>
      <c r="G59" s="19">
        <f t="shared" si="28"/>
        <v>15259.678618248994</v>
      </c>
      <c r="H59" s="19">
        <f t="shared" si="28"/>
        <v>18207.069848186693</v>
      </c>
      <c r="I59" s="19">
        <f t="shared" si="28"/>
        <v>21505.01538507644</v>
      </c>
      <c r="J59" s="19">
        <f t="shared" si="28"/>
        <v>25185.144117630825</v>
      </c>
      <c r="K59" s="19">
        <f t="shared" si="28"/>
        <v>29281.954949109702</v>
      </c>
      <c r="L59" s="19">
        <f t="shared" si="28"/>
        <v>33834.002286885094</v>
      </c>
      <c r="M59" s="19">
        <f t="shared" si="28"/>
        <v>38876.78370907354</v>
      </c>
      <c r="N59" s="19">
        <f t="shared" si="28"/>
        <v>44441.75597201908</v>
      </c>
      <c r="O59" s="19">
        <f t="shared" si="28"/>
        <v>46200.19591661608</v>
      </c>
      <c r="P59" s="25">
        <f t="shared" si="28"/>
        <v>47124.199834948406</v>
      </c>
    </row>
    <row r="60" spans="1:16" ht="12" customHeight="1">
      <c r="A60" s="32"/>
      <c r="B60" s="1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23"/>
    </row>
    <row r="61" spans="1:16" s="15" customFormat="1" ht="12" customHeight="1">
      <c r="A61" s="31">
        <v>4</v>
      </c>
      <c r="B61" s="20" t="s">
        <v>49</v>
      </c>
      <c r="C61" s="19">
        <f aca="true" t="shared" si="29" ref="C61:O61">C46</f>
        <v>0</v>
      </c>
      <c r="D61" s="19">
        <f t="shared" si="29"/>
        <v>0</v>
      </c>
      <c r="E61" s="19">
        <f t="shared" si="29"/>
        <v>0</v>
      </c>
      <c r="F61" s="19">
        <f t="shared" si="29"/>
        <v>0</v>
      </c>
      <c r="G61" s="19">
        <f t="shared" si="29"/>
        <v>0</v>
      </c>
      <c r="H61" s="19">
        <f t="shared" si="29"/>
        <v>0</v>
      </c>
      <c r="I61" s="19">
        <f t="shared" si="29"/>
        <v>0</v>
      </c>
      <c r="J61" s="19">
        <f t="shared" si="29"/>
        <v>0</v>
      </c>
      <c r="K61" s="19">
        <f t="shared" si="29"/>
        <v>0</v>
      </c>
      <c r="L61" s="19">
        <f t="shared" si="29"/>
        <v>3801.5800210818416</v>
      </c>
      <c r="M61" s="19">
        <f t="shared" si="29"/>
        <v>4319.16</v>
      </c>
      <c r="N61" s="19">
        <f t="shared" si="29"/>
        <v>4650.876</v>
      </c>
      <c r="O61" s="19">
        <f t="shared" si="29"/>
        <v>652.212</v>
      </c>
      <c r="P61" s="25"/>
    </row>
    <row r="62" spans="1:16" ht="12" customHeight="1">
      <c r="A62" s="32"/>
      <c r="B62" s="11" t="s">
        <v>50</v>
      </c>
      <c r="C62" s="7"/>
      <c r="D62" s="35">
        <f aca="true" t="shared" si="30" ref="D62:O62">D54*(C68)/(C59+C66)</f>
        <v>2.216661207590412</v>
      </c>
      <c r="E62" s="35">
        <f t="shared" si="30"/>
        <v>1.6287417293128705</v>
      </c>
      <c r="F62" s="35">
        <f t="shared" si="30"/>
        <v>1.2721021519799134</v>
      </c>
      <c r="G62" s="35">
        <f t="shared" si="30"/>
        <v>1.1092183541257017</v>
      </c>
      <c r="H62" s="35">
        <f t="shared" si="30"/>
        <v>0.979412341090391</v>
      </c>
      <c r="I62" s="35">
        <f t="shared" si="30"/>
        <v>0.8763684731226741</v>
      </c>
      <c r="J62" s="35">
        <f t="shared" si="30"/>
        <v>0.7899563951521987</v>
      </c>
      <c r="K62" s="35">
        <f t="shared" si="30"/>
        <v>0.7162239138409433</v>
      </c>
      <c r="L62" s="35">
        <f t="shared" si="30"/>
        <v>0.6524507137699003</v>
      </c>
      <c r="M62" s="35">
        <f t="shared" si="30"/>
        <v>0.65</v>
      </c>
      <c r="N62" s="35">
        <f t="shared" si="30"/>
        <v>0.65</v>
      </c>
      <c r="O62" s="35">
        <f t="shared" si="30"/>
        <v>0.65</v>
      </c>
      <c r="P62" s="36"/>
    </row>
    <row r="63" spans="1:16" s="15" customFormat="1" ht="12" customHeight="1">
      <c r="A63" s="31">
        <v>5</v>
      </c>
      <c r="B63" s="20" t="s">
        <v>51</v>
      </c>
      <c r="C63" s="19"/>
      <c r="D63" s="21">
        <f>D52+D53*D62</f>
        <v>0.26233289660723297</v>
      </c>
      <c r="E63" s="21">
        <f aca="true" t="shared" si="31" ref="E63:O63">E52+E53*E62</f>
        <v>0.21529933834502968</v>
      </c>
      <c r="F63" s="21">
        <f t="shared" si="31"/>
        <v>0.1867681721583931</v>
      </c>
      <c r="G63" s="21">
        <f t="shared" si="31"/>
        <v>0.17373746833005616</v>
      </c>
      <c r="H63" s="21">
        <f t="shared" si="31"/>
        <v>0.1633529872872313</v>
      </c>
      <c r="I63" s="21">
        <f t="shared" si="31"/>
        <v>0.15510947784981394</v>
      </c>
      <c r="J63" s="21">
        <f t="shared" si="31"/>
        <v>0.1481965116121759</v>
      </c>
      <c r="K63" s="21">
        <f t="shared" si="31"/>
        <v>0.14229791310727546</v>
      </c>
      <c r="L63" s="21">
        <f t="shared" si="31"/>
        <v>0.13719605710159202</v>
      </c>
      <c r="M63" s="21">
        <f t="shared" si="31"/>
        <v>0.137</v>
      </c>
      <c r="N63" s="21">
        <f t="shared" si="31"/>
        <v>0.137</v>
      </c>
      <c r="O63" s="21">
        <f t="shared" si="31"/>
        <v>0.137</v>
      </c>
      <c r="P63" s="22"/>
    </row>
    <row r="64" spans="1:16" ht="12" customHeight="1">
      <c r="A64" s="32"/>
      <c r="B64" s="11" t="s">
        <v>52</v>
      </c>
      <c r="C64" s="7"/>
      <c r="D64" s="7">
        <f>(1+D63)</f>
        <v>1.262332896607233</v>
      </c>
      <c r="E64" s="7">
        <f aca="true" t="shared" si="32" ref="E64:O64">(1+E63)*D64</f>
        <v>1.534112334017935</v>
      </c>
      <c r="F64" s="7">
        <f t="shared" si="32"/>
        <v>1.820635690528111</v>
      </c>
      <c r="G64" s="7">
        <f t="shared" si="32"/>
        <v>2.1369483261518085</v>
      </c>
      <c r="H64" s="7">
        <f t="shared" si="32"/>
        <v>2.4860252189071548</v>
      </c>
      <c r="I64" s="7">
        <f t="shared" si="32"/>
        <v>2.871631292533313</v>
      </c>
      <c r="J64" s="7">
        <f t="shared" si="32"/>
        <v>3.2971970327231137</v>
      </c>
      <c r="K64" s="7">
        <f t="shared" si="32"/>
        <v>3.766381289583114</v>
      </c>
      <c r="L64" s="7">
        <f t="shared" si="32"/>
        <v>4.2831139520551265</v>
      </c>
      <c r="M64" s="7">
        <f t="shared" si="32"/>
        <v>4.869900563486679</v>
      </c>
      <c r="N64" s="7">
        <f t="shared" si="32"/>
        <v>5.537076940684354</v>
      </c>
      <c r="O64" s="7">
        <f t="shared" si="32"/>
        <v>6.295656481558111</v>
      </c>
      <c r="P64" s="23"/>
    </row>
    <row r="65" spans="1:16" ht="12" customHeight="1">
      <c r="A65" s="32"/>
      <c r="B65" s="11" t="s">
        <v>53</v>
      </c>
      <c r="C65" s="7"/>
      <c r="D65" s="7">
        <f aca="true" t="shared" si="33" ref="D65:O65">D61/D64</f>
        <v>0</v>
      </c>
      <c r="E65" s="7">
        <f t="shared" si="33"/>
        <v>0</v>
      </c>
      <c r="F65" s="7">
        <f t="shared" si="33"/>
        <v>0</v>
      </c>
      <c r="G65" s="7">
        <f t="shared" si="33"/>
        <v>0</v>
      </c>
      <c r="H65" s="7">
        <f t="shared" si="33"/>
        <v>0</v>
      </c>
      <c r="I65" s="7">
        <f t="shared" si="33"/>
        <v>0</v>
      </c>
      <c r="J65" s="7">
        <f t="shared" si="33"/>
        <v>0</v>
      </c>
      <c r="K65" s="7">
        <f t="shared" si="33"/>
        <v>0</v>
      </c>
      <c r="L65" s="7">
        <f t="shared" si="33"/>
        <v>887.5738688338574</v>
      </c>
      <c r="M65" s="7">
        <f t="shared" si="33"/>
        <v>886.9092795002845</v>
      </c>
      <c r="N65" s="7">
        <f t="shared" si="33"/>
        <v>839.9514852009942</v>
      </c>
      <c r="O65" s="7">
        <f t="shared" si="33"/>
        <v>103.59713906095844</v>
      </c>
      <c r="P65" s="23"/>
    </row>
    <row r="66" spans="1:16" s="15" customFormat="1" ht="12" customHeight="1">
      <c r="A66" s="31">
        <v>6</v>
      </c>
      <c r="B66" s="16" t="s">
        <v>54</v>
      </c>
      <c r="C66" s="17">
        <f>SUM(D65:P65)</f>
        <v>2718.0317725960945</v>
      </c>
      <c r="D66" s="18">
        <f aca="true" t="shared" si="34" ref="D66:O66">C66*(1+D63)-D61</f>
        <v>3431.0609205717196</v>
      </c>
      <c r="E66" s="18">
        <f t="shared" si="34"/>
        <v>4169.7660665922995</v>
      </c>
      <c r="F66" s="18">
        <f t="shared" si="34"/>
        <v>4948.545653177835</v>
      </c>
      <c r="G66" s="18">
        <f t="shared" si="34"/>
        <v>5808.293446876656</v>
      </c>
      <c r="H66" s="18">
        <f t="shared" si="34"/>
        <v>6757.095532464808</v>
      </c>
      <c r="I66" s="18">
        <f t="shared" si="34"/>
        <v>7805.185092286734</v>
      </c>
      <c r="J66" s="18">
        <f t="shared" si="34"/>
        <v>8961.886295450988</v>
      </c>
      <c r="K66" s="18">
        <f t="shared" si="34"/>
        <v>10237.144012798355</v>
      </c>
      <c r="L66" s="18">
        <f t="shared" si="34"/>
        <v>7840.059786253618</v>
      </c>
      <c r="M66" s="18">
        <f t="shared" si="34"/>
        <v>4594.987976970364</v>
      </c>
      <c r="N66" s="18">
        <f t="shared" si="34"/>
        <v>573.6253298153033</v>
      </c>
      <c r="O66" s="18">
        <f t="shared" si="34"/>
        <v>0</v>
      </c>
      <c r="P66" s="24"/>
    </row>
    <row r="67" spans="1:16" s="15" customFormat="1" ht="12" customHeight="1">
      <c r="A67" s="31">
        <v>7</v>
      </c>
      <c r="B67" s="20" t="s">
        <v>55</v>
      </c>
      <c r="C67" s="37">
        <f>C8+C9</f>
        <v>21084</v>
      </c>
      <c r="D67" s="19">
        <f aca="true" t="shared" si="35" ref="D67:P67">D8+D9</f>
        <v>17353</v>
      </c>
      <c r="E67" s="19">
        <f t="shared" si="35"/>
        <v>13832</v>
      </c>
      <c r="F67" s="19">
        <f t="shared" si="35"/>
        <v>12417</v>
      </c>
      <c r="G67" s="19">
        <f t="shared" si="35"/>
        <v>10677</v>
      </c>
      <c r="H67" s="19">
        <f t="shared" si="35"/>
        <v>8694</v>
      </c>
      <c r="I67" s="19">
        <f t="shared" si="35"/>
        <v>6311</v>
      </c>
      <c r="J67" s="19">
        <f t="shared" si="35"/>
        <v>3479</v>
      </c>
      <c r="K67" s="19">
        <f t="shared" si="35"/>
        <v>149</v>
      </c>
      <c r="L67" s="19">
        <f t="shared" si="35"/>
        <v>0</v>
      </c>
      <c r="M67" s="19">
        <f t="shared" si="35"/>
        <v>0</v>
      </c>
      <c r="N67" s="19">
        <f t="shared" si="35"/>
        <v>0</v>
      </c>
      <c r="O67" s="19">
        <f t="shared" si="35"/>
        <v>0</v>
      </c>
      <c r="P67" s="25">
        <f t="shared" si="35"/>
        <v>0</v>
      </c>
    </row>
    <row r="68" spans="1:16" s="15" customFormat="1" ht="12" customHeight="1" thickBot="1">
      <c r="A68" s="38">
        <v>8</v>
      </c>
      <c r="B68" s="26" t="s">
        <v>58</v>
      </c>
      <c r="C68" s="39">
        <f aca="true" t="shared" si="36" ref="C68:P68">C59+C67+C66</f>
        <v>29831.647502600918</v>
      </c>
      <c r="D68" s="40">
        <f t="shared" si="36"/>
        <v>28877.439657762196</v>
      </c>
      <c r="E68" s="40">
        <f t="shared" si="36"/>
        <v>28284.2888586476</v>
      </c>
      <c r="F68" s="40">
        <f t="shared" si="36"/>
        <v>29992.625903207514</v>
      </c>
      <c r="G68" s="40">
        <f t="shared" si="36"/>
        <v>31744.97206512565</v>
      </c>
      <c r="H68" s="40">
        <f t="shared" si="36"/>
        <v>33658.1653806515</v>
      </c>
      <c r="I68" s="40">
        <f t="shared" si="36"/>
        <v>35621.20047736318</v>
      </c>
      <c r="J68" s="40">
        <f t="shared" si="36"/>
        <v>37626.03041308181</v>
      </c>
      <c r="K68" s="40">
        <f t="shared" si="36"/>
        <v>39668.09896190806</v>
      </c>
      <c r="L68" s="40">
        <f t="shared" si="36"/>
        <v>41674.06207313871</v>
      </c>
      <c r="M68" s="40">
        <f t="shared" si="36"/>
        <v>43471.7716860439</v>
      </c>
      <c r="N68" s="40">
        <f t="shared" si="36"/>
        <v>45015.38130183438</v>
      </c>
      <c r="O68" s="40">
        <f t="shared" si="36"/>
        <v>46200.19591661608</v>
      </c>
      <c r="P68" s="41">
        <f t="shared" si="36"/>
        <v>47124.199834948406</v>
      </c>
    </row>
    <row r="69" spans="2:16" ht="12" customHeight="1">
      <c r="B69" s="11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</sheetData>
  <printOptions/>
  <pageMargins left="0.7480314960629921" right="0.3937007874015748" top="0.7874015748031497" bottom="0.7874015748031497" header="0.5" footer="0.5"/>
  <pageSetup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2003-11-18T15:13:21Z</dcterms:created>
  <dcterms:modified xsi:type="dcterms:W3CDTF">2004-03-06T13:20:47Z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1514521260</vt:i4>
  </property>
  <property fmtid="{D5CDD505-2E9C-101B-9397-08002B2CF9AE}" pid="4" name="_EmailSubje">
    <vt:lpwstr>Cambiar estas tablas cap 20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