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18.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<sst xmlns="http://schemas.openxmlformats.org/spreadsheetml/2006/main" count="59" uniqueCount="57">
  <si>
    <t>Balance (millones)</t>
  </si>
  <si>
    <t>NOF</t>
  </si>
  <si>
    <t>Activo fijo bruto</t>
  </si>
  <si>
    <t xml:space="preserve"> - amort. acumulada</t>
  </si>
  <si>
    <t>TOTAL ACTIVO NETO</t>
  </si>
  <si>
    <t>Deuda</t>
  </si>
  <si>
    <t>Capital (valor contable)</t>
  </si>
  <si>
    <t>TOTAL PASIVO</t>
  </si>
  <si>
    <t>Cuenta de resultados (millones)</t>
  </si>
  <si>
    <t>Ventas</t>
  </si>
  <si>
    <t>Coste de ventas</t>
  </si>
  <si>
    <t>Gastos generales</t>
  </si>
  <si>
    <t>Amortización</t>
  </si>
  <si>
    <t>Impuestos</t>
  </si>
  <si>
    <t xml:space="preserve"> + Amortización</t>
  </si>
  <si>
    <t xml:space="preserve"> - ∆ NOF</t>
  </si>
  <si>
    <t>ROGI</t>
  </si>
  <si>
    <t>E = VA(Ke;CFac)</t>
  </si>
  <si>
    <t>E - Evc</t>
  </si>
  <si>
    <t xml:space="preserve"> - amortización económica</t>
  </si>
  <si>
    <t xml:space="preserve"> - Coste del capital utilizado</t>
  </si>
  <si>
    <t>CVA</t>
  </si>
  <si>
    <t>MVA = VA(EVA; WACC)</t>
  </si>
  <si>
    <t>MVA = VA(CVA; WACC)</t>
  </si>
  <si>
    <t>Intereses</t>
  </si>
  <si>
    <t>ROA</t>
  </si>
  <si>
    <t>ROE</t>
  </si>
  <si>
    <t>BFO</t>
  </si>
  <si>
    <t xml:space="preserve"> + ∆ Deuda</t>
  </si>
  <si>
    <t xml:space="preserve"> - Inversiones</t>
  </si>
  <si>
    <t>Ke</t>
  </si>
  <si>
    <t>WACC</t>
  </si>
  <si>
    <t>FCF</t>
  </si>
  <si>
    <t>VA(WACC;FCF) -D = E</t>
  </si>
  <si>
    <t>Ku</t>
  </si>
  <si>
    <t>Vu = VA(Ku;FCF)</t>
  </si>
  <si>
    <t>Kd</t>
  </si>
  <si>
    <t>Intereses x T</t>
  </si>
  <si>
    <t xml:space="preserve">VTS </t>
  </si>
  <si>
    <t>E + D</t>
  </si>
  <si>
    <t>E</t>
  </si>
  <si>
    <t>BE</t>
  </si>
  <si>
    <t>EVA</t>
  </si>
  <si>
    <t>MVA = VA(BE; Ke)</t>
  </si>
  <si>
    <t>factor para actualizar con Ke</t>
  </si>
  <si>
    <t xml:space="preserve">CF acciones = Div. </t>
  </si>
  <si>
    <t>VA (CFac en t = 0)</t>
  </si>
  <si>
    <t>VA (BE en t = 0)</t>
  </si>
  <si>
    <t>factor para actualizar con WACC</t>
  </si>
  <si>
    <t>VA (FCF en t = 0)</t>
  </si>
  <si>
    <t>VA (EVA en t = 0)</t>
  </si>
  <si>
    <t>BE - EVA</t>
  </si>
  <si>
    <t>NOPAT</t>
  </si>
  <si>
    <t>VA (CVA en t = 0)</t>
  </si>
  <si>
    <t>WACCvc</t>
  </si>
  <si>
    <t>BE-EVA</t>
  </si>
  <si>
    <t>Check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</si>
</sst>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#,##0.0"/>
    <numFmt numFmtId="178" formatCode="#,##0.0_);[Red]\(#,##0.0\)"/>
    <numFmt numFmtId="179" formatCode="#,##0.000"/>
    <numFmt numFmtId="180" formatCode="0.000"/>
    <numFmt numFmtId="181" formatCode="0.0"/>
    <numFmt numFmtId="182" formatCode="0.000%"/>
  </numFmts>
  <fonts count="10">
    <font>
      <sz val="10"/>
      <name val="Arial"/>
      <family val="0"/>
    </font>
    <font>
      <sz val="9"/>
      <color indexed="8"/>
      <name val="Times"/>
      <family val="1"/>
    </font>
    <font>
      <b/>
      <i/>
      <sz val="9"/>
      <color indexed="8"/>
      <name val="Times"/>
      <family val="1"/>
    </font>
    <font>
      <b/>
      <u val="single"/>
      <sz val="12"/>
      <color indexed="8"/>
      <name val="Times"/>
      <family val="1"/>
    </font>
    <font>
      <b/>
      <sz val="9"/>
      <color indexed="8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b/>
      <sz val="10"/>
      <color indexed="8"/>
      <name val="Times"/>
      <family val="1"/>
    </font>
    <font>
      <sz val="10"/>
      <color indexed="8"/>
      <name val="Times"/>
      <family val="1"/>
    </font>
    <font>
      <sz val="8"/>
      <color indexed="8"/>
      <name val="Times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10" fontId="1" fillId="0" borderId="7" xfId="19" applyNumberFormat="1" applyFont="1" applyBorder="1" applyAlignment="1">
      <alignment horizontal="right" vertical="top" wrapText="1"/>
    </xf>
    <xf numFmtId="38" fontId="4" fillId="0" borderId="7" xfId="0" applyNumberFormat="1" applyFont="1" applyBorder="1" applyAlignment="1">
      <alignment horizontal="right" vertical="top" wrapText="1"/>
    </xf>
    <xf numFmtId="178" fontId="4" fillId="0" borderId="7" xfId="0" applyNumberFormat="1" applyFont="1" applyBorder="1" applyAlignment="1">
      <alignment horizontal="right" vertical="top" wrapText="1"/>
    </xf>
    <xf numFmtId="179" fontId="4" fillId="0" borderId="7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181" fontId="4" fillId="0" borderId="2" xfId="0" applyNumberFormat="1" applyFont="1" applyBorder="1" applyAlignment="1">
      <alignment horizontal="right" vertical="top" wrapText="1"/>
    </xf>
    <xf numFmtId="181" fontId="4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0" fontId="1" fillId="0" borderId="0" xfId="19" applyNumberFormat="1" applyFont="1" applyBorder="1" applyAlignment="1">
      <alignment horizontal="right" vertical="top" wrapText="1"/>
    </xf>
    <xf numFmtId="10" fontId="1" fillId="0" borderId="5" xfId="19" applyNumberFormat="1" applyFont="1" applyBorder="1" applyAlignment="1">
      <alignment horizontal="right" vertical="top" wrapText="1"/>
    </xf>
    <xf numFmtId="10" fontId="1" fillId="0" borderId="8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177" fontId="1" fillId="0" borderId="0" xfId="0" applyNumberFormat="1" applyFont="1" applyBorder="1" applyAlignment="1">
      <alignment horizontal="right" vertical="top" wrapText="1"/>
    </xf>
    <xf numFmtId="177" fontId="4" fillId="0" borderId="7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177" fontId="1" fillId="0" borderId="5" xfId="0" applyNumberFormat="1" applyFont="1" applyBorder="1" applyAlignment="1">
      <alignment horizontal="right" vertical="top" wrapText="1"/>
    </xf>
    <xf numFmtId="177" fontId="4" fillId="0" borderId="8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vertical="top" wrapText="1"/>
    </xf>
    <xf numFmtId="179" fontId="4" fillId="0" borderId="8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0" fontId="1" fillId="0" borderId="2" xfId="19" applyNumberFormat="1" applyFont="1" applyBorder="1" applyAlignment="1">
      <alignment horizontal="right" vertical="top" wrapText="1"/>
    </xf>
    <xf numFmtId="10" fontId="1" fillId="0" borderId="3" xfId="19" applyNumberFormat="1" applyFont="1" applyBorder="1" applyAlignment="1">
      <alignment horizontal="right" vertical="top" wrapText="1"/>
    </xf>
    <xf numFmtId="38" fontId="4" fillId="0" borderId="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vertical="top" wrapText="1"/>
    </xf>
    <xf numFmtId="179" fontId="4" fillId="0" borderId="12" xfId="0" applyNumberFormat="1" applyFont="1" applyBorder="1" applyAlignment="1">
      <alignment horizontal="right" vertical="top" wrapText="1"/>
    </xf>
    <xf numFmtId="179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178" fontId="4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4" fillId="0" borderId="2" xfId="19" applyNumberFormat="1" applyFont="1" applyBorder="1" applyAlignment="1">
      <alignment horizontal="right" vertical="top" wrapText="1"/>
    </xf>
    <xf numFmtId="10" fontId="4" fillId="0" borderId="2" xfId="19" applyNumberFormat="1" applyFont="1" applyBorder="1" applyAlignment="1">
      <alignment horizontal="right" vertical="top" wrapText="1"/>
    </xf>
    <xf numFmtId="178" fontId="4" fillId="0" borderId="0" xfId="0" applyNumberFormat="1" applyFont="1" applyBorder="1" applyAlignment="1">
      <alignment horizontal="right" vertical="top" wrapText="1"/>
    </xf>
    <xf numFmtId="10" fontId="4" fillId="0" borderId="0" xfId="19" applyNumberFormat="1" applyFont="1" applyBorder="1" applyAlignment="1">
      <alignment horizontal="right" vertical="top" wrapText="1"/>
    </xf>
    <xf numFmtId="10" fontId="4" fillId="0" borderId="0" xfId="0" applyNumberFormat="1" applyFont="1" applyBorder="1" applyAlignment="1">
      <alignment horizontal="right" vertical="top" wrapText="1"/>
    </xf>
    <xf numFmtId="178" fontId="4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>
      <alignment/>
    </xf>
    <xf numFmtId="10" fontId="4" fillId="0" borderId="7" xfId="19" applyNumberFormat="1" applyFont="1" applyBorder="1" applyAlignment="1">
      <alignment horizontal="right" vertical="top" wrapText="1"/>
    </xf>
    <xf numFmtId="2" fontId="4" fillId="0" borderId="0" xfId="19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4" fillId="0" borderId="0" xfId="19" applyNumberFormat="1" applyFont="1" applyBorder="1" applyAlignment="1">
      <alignment horizontal="right" vertical="top" wrapText="1"/>
    </xf>
    <xf numFmtId="4" fontId="4" fillId="0" borderId="0" xfId="19" applyNumberFormat="1" applyFont="1" applyBorder="1" applyAlignment="1">
      <alignment horizontal="right" vertical="top" wrapText="1"/>
    </xf>
    <xf numFmtId="177" fontId="4" fillId="0" borderId="0" xfId="19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2" fontId="5" fillId="0" borderId="2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vertical="top" wrapText="1"/>
    </xf>
    <xf numFmtId="178" fontId="4" fillId="0" borderId="12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1" fontId="4" fillId="0" borderId="0" xfId="19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4" fillId="0" borderId="17" xfId="0" applyFont="1" applyBorder="1" applyAlignment="1">
      <alignment vertical="top" wrapText="1"/>
    </xf>
    <xf numFmtId="181" fontId="4" fillId="0" borderId="17" xfId="19" applyNumberFormat="1" applyFont="1" applyBorder="1" applyAlignment="1">
      <alignment horizontal="right" vertical="top" wrapText="1"/>
    </xf>
    <xf numFmtId="40" fontId="6" fillId="0" borderId="13" xfId="0" applyNumberFormat="1" applyFont="1" applyBorder="1" applyAlignment="1">
      <alignment/>
    </xf>
    <xf numFmtId="40" fontId="0" fillId="0" borderId="0" xfId="0" applyNumberFormat="1" applyAlignment="1">
      <alignment/>
    </xf>
    <xf numFmtId="0" fontId="2" fillId="0" borderId="2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7" fillId="0" borderId="4" xfId="0" applyNumberFormat="1" applyFont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5"/>
  <sheetViews>
    <sheetView tabSelected="1" workbookViewId="0" topLeftCell="A24">
      <pane ySplit="2340" topLeftCell="BM50" activePane="bottomLeft" state="split"/>
      <selection pane="topLeft" activeCell="A4" sqref="A4"/>
      <selection pane="bottomLeft" activeCell="H65" sqref="H65"/>
    </sheetView>
  </sheetViews>
  <sheetFormatPr defaultColWidth="9.140625" defaultRowHeight="12.75"/>
  <cols>
    <col min="4" max="4" width="21.421875" style="0" customWidth="1"/>
    <col min="5" max="7" width="8.57421875" style="0" customWidth="1"/>
  </cols>
  <sheetData>
    <row r="1" ht="12.75" customHeight="1" thickBot="1"/>
    <row r="2" spans="2:10" ht="12.75" customHeight="1">
      <c r="B2" s="1"/>
      <c r="C2" s="111" t="s">
        <v>0</v>
      </c>
      <c r="D2" s="111"/>
      <c r="E2" s="2">
        <v>0</v>
      </c>
      <c r="F2" s="2">
        <v>1</v>
      </c>
      <c r="G2" s="2">
        <v>2</v>
      </c>
      <c r="H2" s="2">
        <v>3</v>
      </c>
      <c r="I2" s="2">
        <v>4</v>
      </c>
      <c r="J2" s="3">
        <v>5</v>
      </c>
    </row>
    <row r="3" spans="2:10" ht="12.75" customHeight="1">
      <c r="B3" s="4">
        <v>1</v>
      </c>
      <c r="C3" s="28"/>
      <c r="D3" s="29" t="s">
        <v>1</v>
      </c>
      <c r="E3" s="28">
        <v>2000</v>
      </c>
      <c r="F3" s="28">
        <v>2000</v>
      </c>
      <c r="G3" s="28">
        <v>2000</v>
      </c>
      <c r="H3" s="28">
        <v>2000</v>
      </c>
      <c r="I3" s="28">
        <v>2000</v>
      </c>
      <c r="J3" s="11">
        <v>0</v>
      </c>
    </row>
    <row r="4" spans="2:10" ht="12.75" customHeight="1">
      <c r="B4" s="4">
        <v>2</v>
      </c>
      <c r="C4" s="28"/>
      <c r="D4" s="29" t="s">
        <v>2</v>
      </c>
      <c r="E4" s="28">
        <v>10000</v>
      </c>
      <c r="F4" s="28">
        <v>10000</v>
      </c>
      <c r="G4" s="28">
        <v>10000</v>
      </c>
      <c r="H4" s="28">
        <v>10000</v>
      </c>
      <c r="I4" s="28">
        <v>10000</v>
      </c>
      <c r="J4" s="11">
        <v>10000</v>
      </c>
    </row>
    <row r="5" spans="2:10" ht="12.75" customHeight="1">
      <c r="B5" s="4">
        <v>3</v>
      </c>
      <c r="C5" s="28"/>
      <c r="D5" s="29" t="s">
        <v>3</v>
      </c>
      <c r="E5" s="28">
        <v>0</v>
      </c>
      <c r="F5" s="28">
        <v>2000</v>
      </c>
      <c r="G5" s="28">
        <v>4000</v>
      </c>
      <c r="H5" s="28">
        <v>6000</v>
      </c>
      <c r="I5" s="28">
        <v>8000</v>
      </c>
      <c r="J5" s="11">
        <v>10000</v>
      </c>
    </row>
    <row r="6" spans="2:10" ht="12.75" customHeight="1" thickBot="1">
      <c r="B6" s="4">
        <v>4</v>
      </c>
      <c r="C6" s="30"/>
      <c r="D6" s="12" t="s">
        <v>4</v>
      </c>
      <c r="E6" s="13">
        <f aca="true" t="shared" si="0" ref="E6:J6">E3+E4-E5</f>
        <v>12000</v>
      </c>
      <c r="F6" s="13">
        <f t="shared" si="0"/>
        <v>10000</v>
      </c>
      <c r="G6" s="13">
        <f t="shared" si="0"/>
        <v>8000</v>
      </c>
      <c r="H6" s="13">
        <f t="shared" si="0"/>
        <v>6000</v>
      </c>
      <c r="I6" s="13">
        <f t="shared" si="0"/>
        <v>4000</v>
      </c>
      <c r="J6" s="31">
        <f t="shared" si="0"/>
        <v>0</v>
      </c>
    </row>
    <row r="7" spans="2:10" ht="12.75" customHeight="1">
      <c r="B7" s="4">
        <v>5</v>
      </c>
      <c r="C7" s="28"/>
      <c r="D7" s="29" t="s">
        <v>5</v>
      </c>
      <c r="E7" s="28">
        <f>E28</f>
        <v>6242.755674929808</v>
      </c>
      <c r="F7" s="28">
        <f>F28</f>
        <v>5358.286791186719</v>
      </c>
      <c r="G7" s="28">
        <f>G28</f>
        <v>4398.709523033246</v>
      </c>
      <c r="H7" s="28">
        <f>H28</f>
        <v>3357.3985836609445</v>
      </c>
      <c r="I7" s="28">
        <f>I28</f>
        <v>2227.1250971807976</v>
      </c>
      <c r="J7" s="11">
        <v>0</v>
      </c>
    </row>
    <row r="8" spans="2:10" ht="12.75" customHeight="1">
      <c r="B8" s="4">
        <v>6</v>
      </c>
      <c r="C8" s="28"/>
      <c r="D8" s="29" t="s">
        <v>6</v>
      </c>
      <c r="E8" s="28">
        <f>E6-E7</f>
        <v>5757.244325070192</v>
      </c>
      <c r="F8" s="28">
        <f>F6-F7</f>
        <v>4641.713208813281</v>
      </c>
      <c r="G8" s="28">
        <f>G6-G7</f>
        <v>3601.290476966754</v>
      </c>
      <c r="H8" s="28">
        <f>H6-H7</f>
        <v>2642.6014163390555</v>
      </c>
      <c r="I8" s="28">
        <f>I6-I7</f>
        <v>1772.8749028192024</v>
      </c>
      <c r="J8" s="11">
        <v>0</v>
      </c>
    </row>
    <row r="9" spans="2:10" ht="12.75" customHeight="1" thickBot="1">
      <c r="B9" s="4">
        <v>7</v>
      </c>
      <c r="C9" s="30"/>
      <c r="D9" s="12" t="s">
        <v>7</v>
      </c>
      <c r="E9" s="13">
        <f aca="true" t="shared" si="1" ref="E9:J9">E7+E8</f>
        <v>12000</v>
      </c>
      <c r="F9" s="13">
        <f t="shared" si="1"/>
        <v>10000</v>
      </c>
      <c r="G9" s="13">
        <f t="shared" si="1"/>
        <v>8000</v>
      </c>
      <c r="H9" s="13">
        <f t="shared" si="1"/>
        <v>6000</v>
      </c>
      <c r="I9" s="13">
        <f t="shared" si="1"/>
        <v>4000</v>
      </c>
      <c r="J9" s="31">
        <f t="shared" si="1"/>
        <v>0</v>
      </c>
    </row>
    <row r="10" spans="2:10" ht="12.75" customHeight="1">
      <c r="B10" s="4"/>
      <c r="C10" s="112" t="s">
        <v>8</v>
      </c>
      <c r="D10" s="112"/>
      <c r="E10" s="112"/>
      <c r="F10" s="32"/>
      <c r="G10" s="32"/>
      <c r="H10" s="32"/>
      <c r="I10" s="32"/>
      <c r="J10" s="14"/>
    </row>
    <row r="11" spans="2:10" ht="12.75" customHeight="1">
      <c r="B11" s="4">
        <v>8</v>
      </c>
      <c r="C11" s="32"/>
      <c r="D11" s="29" t="s">
        <v>9</v>
      </c>
      <c r="E11" s="28"/>
      <c r="F11" s="33">
        <v>10000</v>
      </c>
      <c r="G11" s="28">
        <f aca="true" t="shared" si="2" ref="G11:J13">F11</f>
        <v>10000</v>
      </c>
      <c r="H11" s="28">
        <f t="shared" si="2"/>
        <v>10000</v>
      </c>
      <c r="I11" s="28">
        <f t="shared" si="2"/>
        <v>10000</v>
      </c>
      <c r="J11" s="11">
        <f t="shared" si="2"/>
        <v>10000</v>
      </c>
    </row>
    <row r="12" spans="2:10" ht="12.75" customHeight="1">
      <c r="B12" s="4">
        <v>9</v>
      </c>
      <c r="C12" s="32"/>
      <c r="D12" s="29" t="s">
        <v>10</v>
      </c>
      <c r="E12" s="28"/>
      <c r="F12" s="33">
        <v>4000</v>
      </c>
      <c r="G12" s="28">
        <f t="shared" si="2"/>
        <v>4000</v>
      </c>
      <c r="H12" s="28">
        <f t="shared" si="2"/>
        <v>4000</v>
      </c>
      <c r="I12" s="28">
        <f t="shared" si="2"/>
        <v>4000</v>
      </c>
      <c r="J12" s="11">
        <f t="shared" si="2"/>
        <v>4000</v>
      </c>
    </row>
    <row r="13" spans="2:10" ht="12.75" customHeight="1">
      <c r="B13" s="4">
        <v>10</v>
      </c>
      <c r="C13" s="32"/>
      <c r="D13" s="29" t="s">
        <v>11</v>
      </c>
      <c r="E13" s="28"/>
      <c r="F13" s="33">
        <v>2730.34</v>
      </c>
      <c r="G13" s="28">
        <f t="shared" si="2"/>
        <v>2730.34</v>
      </c>
      <c r="H13" s="28">
        <f t="shared" si="2"/>
        <v>2730.34</v>
      </c>
      <c r="I13" s="28">
        <f t="shared" si="2"/>
        <v>2730.34</v>
      </c>
      <c r="J13" s="11">
        <f t="shared" si="2"/>
        <v>2730.34</v>
      </c>
    </row>
    <row r="14" spans="2:10" ht="12.75" customHeight="1">
      <c r="B14" s="4">
        <v>11</v>
      </c>
      <c r="C14" s="32"/>
      <c r="D14" s="29" t="s">
        <v>12</v>
      </c>
      <c r="E14" s="28"/>
      <c r="F14" s="33">
        <f>F5-E5</f>
        <v>2000</v>
      </c>
      <c r="G14" s="28">
        <f>G5-F5</f>
        <v>2000</v>
      </c>
      <c r="H14" s="28">
        <f>H5-G5</f>
        <v>2000</v>
      </c>
      <c r="I14" s="28">
        <f>I5-H5</f>
        <v>2000</v>
      </c>
      <c r="J14" s="11">
        <f>J5-I5</f>
        <v>2000</v>
      </c>
    </row>
    <row r="15" spans="2:10" ht="12.75" customHeight="1">
      <c r="B15" s="4">
        <v>12</v>
      </c>
      <c r="C15" s="32"/>
      <c r="D15" s="29" t="s">
        <v>24</v>
      </c>
      <c r="E15" s="28"/>
      <c r="F15" s="33">
        <f>0.08*E7</f>
        <v>499.4204539943847</v>
      </c>
      <c r="G15" s="33">
        <f>0.08*F7</f>
        <v>428.6629432949375</v>
      </c>
      <c r="H15" s="33">
        <f>0.08*G7</f>
        <v>351.8967618426597</v>
      </c>
      <c r="I15" s="33">
        <f>0.08*H7</f>
        <v>268.59188669287556</v>
      </c>
      <c r="J15" s="52">
        <f>0.08*I7</f>
        <v>178.1700077744638</v>
      </c>
    </row>
    <row r="16" spans="2:10" ht="12.75" customHeight="1">
      <c r="B16" s="4">
        <v>13</v>
      </c>
      <c r="C16" s="28"/>
      <c r="D16" s="29" t="s">
        <v>13</v>
      </c>
      <c r="E16" s="28"/>
      <c r="F16" s="33">
        <f>0.34*(F11-F12-F13-F14-F15)</f>
        <v>261.8814456419092</v>
      </c>
      <c r="G16" s="50">
        <f>0.34*(G11-G12-G13-G14-G15)</f>
        <v>285.9389992797212</v>
      </c>
      <c r="H16" s="50">
        <f>0.34*(H11-H12-H13-H14-H15)</f>
        <v>312.03950097349565</v>
      </c>
      <c r="I16" s="50">
        <f>0.34*(I11-I12-I13-I14-I15)</f>
        <v>340.3631585244223</v>
      </c>
      <c r="J16" s="53">
        <f>0.34*(J11-J12-J13-J14-J15)</f>
        <v>371.1065973566823</v>
      </c>
    </row>
    <row r="17" spans="2:10" ht="12.75" customHeight="1" thickBot="1">
      <c r="B17" s="6">
        <v>14</v>
      </c>
      <c r="C17" s="15"/>
      <c r="D17" s="16" t="s">
        <v>27</v>
      </c>
      <c r="E17" s="15"/>
      <c r="F17" s="18">
        <f>F11-F12-F13-F14-F15-F16</f>
        <v>508.35810036370606</v>
      </c>
      <c r="G17" s="51">
        <f>G11-G12-G13-G14-G15-G16</f>
        <v>555.0580574253411</v>
      </c>
      <c r="H17" s="51">
        <f>H11-H12-H13-H14-H15-H16</f>
        <v>605.7237371838444</v>
      </c>
      <c r="I17" s="51">
        <f>I11-I12-I13-I14-I15-I16</f>
        <v>660.7049547827021</v>
      </c>
      <c r="J17" s="54">
        <f>J11-J12-J13-J14-J15-J16</f>
        <v>720.3833948688538</v>
      </c>
    </row>
    <row r="18" spans="2:10" ht="12.75" customHeight="1">
      <c r="B18" s="1">
        <v>15</v>
      </c>
      <c r="C18" s="55"/>
      <c r="D18" s="56" t="s">
        <v>14</v>
      </c>
      <c r="E18" s="55"/>
      <c r="F18" s="55">
        <f>F14</f>
        <v>2000</v>
      </c>
      <c r="G18" s="55">
        <f>G14</f>
        <v>2000</v>
      </c>
      <c r="H18" s="55">
        <f>H14</f>
        <v>2000</v>
      </c>
      <c r="I18" s="55">
        <f>I14</f>
        <v>2000</v>
      </c>
      <c r="J18" s="57">
        <f>J14</f>
        <v>2000</v>
      </c>
    </row>
    <row r="19" spans="2:10" ht="12.75" customHeight="1">
      <c r="B19" s="4">
        <v>16</v>
      </c>
      <c r="C19" s="28"/>
      <c r="D19" s="29" t="s">
        <v>28</v>
      </c>
      <c r="E19" s="28"/>
      <c r="F19" s="28">
        <f>F7-E7</f>
        <v>-884.4688837430895</v>
      </c>
      <c r="G19" s="28">
        <f>G7-F7</f>
        <v>-959.5772681534727</v>
      </c>
      <c r="H19" s="28">
        <f>H7-G7</f>
        <v>-1041.3109393723016</v>
      </c>
      <c r="I19" s="28">
        <f>I7-H7</f>
        <v>-1130.2734864801469</v>
      </c>
      <c r="J19" s="11">
        <f>J7-I7</f>
        <v>-2227.1250971807976</v>
      </c>
    </row>
    <row r="20" spans="2:10" ht="12.75" customHeight="1">
      <c r="B20" s="4">
        <v>17</v>
      </c>
      <c r="C20" s="28"/>
      <c r="D20" s="29" t="s">
        <v>15</v>
      </c>
      <c r="E20" s="28"/>
      <c r="F20" s="28">
        <f>-F3+E3</f>
        <v>0</v>
      </c>
      <c r="G20" s="28">
        <f>-G3+F3</f>
        <v>0</v>
      </c>
      <c r="H20" s="28">
        <f>-H3+G3</f>
        <v>0</v>
      </c>
      <c r="I20" s="28">
        <f>-I3+H3</f>
        <v>0</v>
      </c>
      <c r="J20" s="11">
        <f>-J3+I3</f>
        <v>2000</v>
      </c>
    </row>
    <row r="21" spans="2:10" ht="12.75" customHeight="1">
      <c r="B21" s="4">
        <v>18</v>
      </c>
      <c r="C21" s="28"/>
      <c r="D21" s="29" t="s">
        <v>29</v>
      </c>
      <c r="E21" s="28"/>
      <c r="F21" s="28">
        <f>F4-E4</f>
        <v>0</v>
      </c>
      <c r="G21" s="28">
        <f>G4-F4</f>
        <v>0</v>
      </c>
      <c r="H21" s="28">
        <f>H4-G4</f>
        <v>0</v>
      </c>
      <c r="I21" s="28">
        <f>I4-H4</f>
        <v>0</v>
      </c>
      <c r="J21" s="11">
        <f>J4-I4</f>
        <v>0</v>
      </c>
    </row>
    <row r="22" spans="2:10" ht="12.75" customHeight="1" thickBot="1">
      <c r="B22" s="6">
        <v>19</v>
      </c>
      <c r="C22" s="17"/>
      <c r="D22" s="16" t="s">
        <v>45</v>
      </c>
      <c r="E22" s="17"/>
      <c r="F22" s="22">
        <f>F18+F20+F17+F19-F21</f>
        <v>1623.8892166206165</v>
      </c>
      <c r="G22" s="22">
        <f>G18+G20+G17+G19-G21</f>
        <v>1595.4807892718682</v>
      </c>
      <c r="H22" s="22">
        <f>H18+H20+H17+H19-H21</f>
        <v>1564.412797811543</v>
      </c>
      <c r="I22" s="22">
        <f>I18+I20+I17+I19-I21</f>
        <v>1530.431468302555</v>
      </c>
      <c r="J22" s="58">
        <f>J18+J20+J17+J19-J21</f>
        <v>2493.258297688056</v>
      </c>
    </row>
    <row r="23" spans="2:10" ht="12.75" customHeight="1" thickBot="1">
      <c r="B23" s="63">
        <v>20</v>
      </c>
      <c r="C23" s="64"/>
      <c r="D23" s="65" t="s">
        <v>32</v>
      </c>
      <c r="E23" s="64"/>
      <c r="F23" s="66">
        <f>F22-F19+F15*0.66</f>
        <v>2837.9755999999998</v>
      </c>
      <c r="G23" s="66">
        <f>G22-G19+G15*0.66</f>
        <v>2837.9755999999998</v>
      </c>
      <c r="H23" s="66">
        <f>H22-H19+H15*0.66</f>
        <v>2837.9756</v>
      </c>
      <c r="I23" s="66">
        <f>I22-I19+I15*0.66</f>
        <v>2837.9755999999998</v>
      </c>
      <c r="J23" s="67">
        <f>J22-J19+J15*0.66</f>
        <v>4837.9756</v>
      </c>
    </row>
    <row r="24" spans="2:10" ht="12.75" customHeight="1">
      <c r="B24" s="1">
        <v>21</v>
      </c>
      <c r="C24" s="24"/>
      <c r="D24" s="59" t="s">
        <v>26</v>
      </c>
      <c r="E24" s="24"/>
      <c r="F24" s="60">
        <f>F17/E8</f>
        <v>0.08829885821416972</v>
      </c>
      <c r="G24" s="60">
        <f>G17/F8</f>
        <v>0.11958042913367528</v>
      </c>
      <c r="H24" s="60">
        <f>H17/G8</f>
        <v>0.16819630103651764</v>
      </c>
      <c r="I24" s="60">
        <f>I17/H8</f>
        <v>0.25002066172280113</v>
      </c>
      <c r="J24" s="61">
        <f>J17/I8</f>
        <v>0.4063362811010013</v>
      </c>
    </row>
    <row r="25" spans="2:10" ht="12.75" customHeight="1">
      <c r="B25" s="4">
        <v>22</v>
      </c>
      <c r="C25" s="34"/>
      <c r="D25" s="35" t="s">
        <v>25</v>
      </c>
      <c r="E25" s="34"/>
      <c r="F25" s="36">
        <f>(F17+F15*0.66)/E9</f>
        <v>0.0698313</v>
      </c>
      <c r="G25" s="36">
        <f>(G17+G15*0.66)/F9</f>
        <v>0.08379756</v>
      </c>
      <c r="H25" s="36">
        <f>(H17+H15*0.66)/G9</f>
        <v>0.10474694999999996</v>
      </c>
      <c r="I25" s="36">
        <f>(I17+I15*0.66)/H9</f>
        <v>0.1396626</v>
      </c>
      <c r="J25" s="37">
        <f>(J17+J15*0.66)/I9</f>
        <v>0.20949389999999996</v>
      </c>
    </row>
    <row r="26" spans="2:10" ht="12.75" customHeight="1" thickBot="1">
      <c r="B26" s="6">
        <v>23</v>
      </c>
      <c r="C26" s="7"/>
      <c r="D26" s="8" t="s">
        <v>16</v>
      </c>
      <c r="E26" s="7"/>
      <c r="F26" s="19">
        <f>(F17+F15*0.66)/$E9</f>
        <v>0.0698313</v>
      </c>
      <c r="G26" s="19">
        <f>(G17+G15*0.66)/$E9</f>
        <v>0.06983129999999999</v>
      </c>
      <c r="H26" s="19">
        <f>(H17+H15*0.66)/$E9</f>
        <v>0.06983129999999999</v>
      </c>
      <c r="I26" s="19">
        <f>(I17+I15*0.66)/$E9</f>
        <v>0.0698313</v>
      </c>
      <c r="J26" s="38">
        <f>(J17+J15*0.66)/$E9</f>
        <v>0.06983129999999999</v>
      </c>
    </row>
    <row r="27" spans="2:10" ht="12.75" customHeight="1">
      <c r="B27" s="4">
        <v>27</v>
      </c>
      <c r="C27" s="34"/>
      <c r="D27" s="35" t="s">
        <v>30</v>
      </c>
      <c r="E27" s="84">
        <f>E45</f>
        <v>0.11844457100761863</v>
      </c>
      <c r="F27" s="84">
        <f>F45</f>
        <v>0.11867664459497884</v>
      </c>
      <c r="G27" s="84">
        <f>G45</f>
        <v>0.11892166475907506</v>
      </c>
      <c r="H27" s="84">
        <f>H45</f>
        <v>0.1191869156827657</v>
      </c>
      <c r="I27" s="84">
        <f>I45</f>
        <v>0.11949629629626864</v>
      </c>
      <c r="J27" s="34"/>
    </row>
    <row r="28" spans="2:10" ht="12.75" customHeight="1" thickBot="1">
      <c r="B28" s="6">
        <v>28</v>
      </c>
      <c r="C28" s="10"/>
      <c r="D28" s="8" t="s">
        <v>17</v>
      </c>
      <c r="E28" s="20">
        <f>SUM(F50:$J50)</f>
        <v>6242.755579887037</v>
      </c>
      <c r="F28" s="20">
        <f>SUM(G50:$J50)/F49</f>
        <v>5358.286795998975</v>
      </c>
      <c r="G28" s="20">
        <f>SUM(H50:$J50)/G49</f>
        <v>4398.709523845079</v>
      </c>
      <c r="H28" s="20">
        <f>SUM(I50:$J50)/H49</f>
        <v>3357.398583543845</v>
      </c>
      <c r="I28" s="20">
        <f>SUM(J50:$J50)/I49</f>
        <v>2227.1250971848</v>
      </c>
      <c r="J28" s="9"/>
    </row>
    <row r="29" spans="2:10" ht="12.75" customHeight="1">
      <c r="B29" s="1">
        <v>29</v>
      </c>
      <c r="C29" s="71"/>
      <c r="D29" s="59" t="s">
        <v>31</v>
      </c>
      <c r="E29" s="81">
        <f>E28/(E28+E7)*E27+E7/(E28+E7)*E40*0.66</f>
        <v>0.08562228525395803</v>
      </c>
      <c r="F29" s="81">
        <f>F28/(F28+F7)*F27+F7/(F28+F7)*F40*0.66</f>
        <v>0.08573832231228032</v>
      </c>
      <c r="G29" s="81">
        <f>G28/(G28+G7)*G27+G7/(G28+G7)*G40*0.66</f>
        <v>0.08586083238258842</v>
      </c>
      <c r="H29" s="81">
        <f>H28/(H28+H7)*H27+H7/(H28+H7)*H40*0.66</f>
        <v>0.08599345784080398</v>
      </c>
      <c r="I29" s="81">
        <f>I28/(I28+I7)*I27+I7/(I28+I7)*I40*0.66</f>
        <v>0.0861481481481643</v>
      </c>
      <c r="J29" s="81"/>
    </row>
    <row r="30" spans="2:10" ht="12.75" customHeight="1" thickBot="1">
      <c r="B30" s="6">
        <v>31</v>
      </c>
      <c r="C30" s="10"/>
      <c r="D30" s="8" t="s">
        <v>33</v>
      </c>
      <c r="E30" s="20">
        <f>SUM(F54:$J54)-E7</f>
        <v>6242.755526400796</v>
      </c>
      <c r="F30" s="20">
        <f>SUM(G54:$J54)/F53-F7</f>
        <v>5358.286812727464</v>
      </c>
      <c r="G30" s="20">
        <f>SUM(H54:$J54)/G53-G7</f>
        <v>4398.709522127306</v>
      </c>
      <c r="H30" s="20">
        <f>SUM(I54:$J54)/H53-H7</f>
        <v>3357.398583596306</v>
      </c>
      <c r="I30" s="20">
        <f>SUM(J54:$J54)/I53-I7</f>
        <v>2227.12509718591</v>
      </c>
      <c r="J30" s="72"/>
    </row>
    <row r="31" spans="2:10" ht="12.75" customHeight="1" thickBot="1">
      <c r="B31" s="4">
        <v>32</v>
      </c>
      <c r="C31" s="39"/>
      <c r="D31" s="68" t="s">
        <v>18</v>
      </c>
      <c r="E31" s="69">
        <f>E28-E8</f>
        <v>485.5112548168454</v>
      </c>
      <c r="F31" s="69">
        <f>F28-F8</f>
        <v>716.5735871856941</v>
      </c>
      <c r="G31" s="69">
        <f>G28-G8</f>
        <v>797.4190468783254</v>
      </c>
      <c r="H31" s="69">
        <f>H28-H8</f>
        <v>714.7971672047893</v>
      </c>
      <c r="I31" s="69">
        <f>I28-I8</f>
        <v>454.2501943655975</v>
      </c>
      <c r="J31" s="70"/>
    </row>
    <row r="32" spans="2:10" ht="12.75" customHeight="1" thickBot="1" thickTop="1">
      <c r="B32" s="4"/>
      <c r="C32" s="39"/>
      <c r="D32" s="39"/>
      <c r="E32" s="39"/>
      <c r="F32" s="39"/>
      <c r="G32" s="39"/>
      <c r="H32" s="39"/>
      <c r="I32" s="39"/>
      <c r="J32" s="5"/>
    </row>
    <row r="33" spans="2:10" ht="12.75" customHeight="1">
      <c r="B33" s="4">
        <v>33</v>
      </c>
      <c r="C33" s="39"/>
      <c r="D33" s="23" t="s">
        <v>41</v>
      </c>
      <c r="E33" s="24"/>
      <c r="F33" s="25">
        <f>F17-E8*E27</f>
        <v>-173.55623390527967</v>
      </c>
      <c r="G33" s="25">
        <f>G17-F8*F27</f>
        <v>4.195108631188532</v>
      </c>
      <c r="H33" s="25">
        <f>H17-G8*G27</f>
        <v>177.45227838195456</v>
      </c>
      <c r="I33" s="25">
        <f>I17-H8*H27</f>
        <v>345.7414425903419</v>
      </c>
      <c r="J33" s="26">
        <f>J17-I8*I27</f>
        <v>508.5314101853519</v>
      </c>
    </row>
    <row r="34" spans="2:10" ht="12.75" customHeight="1" thickBot="1">
      <c r="B34" s="6">
        <v>34</v>
      </c>
      <c r="C34" s="10"/>
      <c r="D34" s="27" t="s">
        <v>43</v>
      </c>
      <c r="E34" s="21">
        <f>SUM(F51:$J51)</f>
        <v>485.5112040513493</v>
      </c>
      <c r="F34" s="21">
        <f>SUM(G51:$J51)/F49</f>
        <v>716.5736037483679</v>
      </c>
      <c r="G34" s="21">
        <f>SUM(H51:$J51)/G49</f>
        <v>797.4190451390281</v>
      </c>
      <c r="H34" s="21">
        <f>SUM(I51:$J51)/H49</f>
        <v>714.7971672607176</v>
      </c>
      <c r="I34" s="21">
        <f>SUM(J51:$J51)/I49</f>
        <v>454.2501943665856</v>
      </c>
      <c r="J34" s="9"/>
    </row>
    <row r="35" spans="2:10" ht="12.75">
      <c r="B35" s="94">
        <v>35</v>
      </c>
      <c r="C35" s="74"/>
      <c r="D35" s="23" t="s">
        <v>42</v>
      </c>
      <c r="E35" s="74"/>
      <c r="F35" s="95">
        <f>F17+F15*0.66-E9*E29</f>
        <v>-189.49182304749638</v>
      </c>
      <c r="G35" s="95">
        <f>G17+G15*0.66-F9*F29</f>
        <v>-19.40762312280333</v>
      </c>
      <c r="H35" s="95">
        <f>H17+H15*0.66-G9*G29</f>
        <v>151.08894093929246</v>
      </c>
      <c r="I35" s="95">
        <f>I17+I15*0.66-H9*H29</f>
        <v>322.01485295517614</v>
      </c>
      <c r="J35" s="95">
        <f>J17+J15*0.66-I9*I29</f>
        <v>493.3830074073427</v>
      </c>
    </row>
    <row r="36" spans="2:10" ht="13.5" thickBot="1">
      <c r="B36" s="96">
        <v>36</v>
      </c>
      <c r="C36" s="78"/>
      <c r="D36" s="27" t="s">
        <v>22</v>
      </c>
      <c r="E36" s="21">
        <f>SUM(F55:$J55)</f>
        <v>485.51120133060124</v>
      </c>
      <c r="F36" s="21">
        <f>SUM(G55:$J55)/F53</f>
        <v>716.5736039141838</v>
      </c>
      <c r="G36" s="21">
        <f>SUM(H55:$J55)/G53</f>
        <v>797.4190451605532</v>
      </c>
      <c r="H36" s="21">
        <f>SUM(I55:$J55)/H53</f>
        <v>714.7971672572513</v>
      </c>
      <c r="I36" s="21">
        <f>SUM(J55:$J55)/I53</f>
        <v>454.25019436670834</v>
      </c>
      <c r="J36" s="79"/>
    </row>
    <row r="37" spans="2:10" ht="13.5" thickBot="1">
      <c r="B37" s="97">
        <v>37</v>
      </c>
      <c r="C37" s="98"/>
      <c r="D37" s="99" t="s">
        <v>51</v>
      </c>
      <c r="E37" s="100"/>
      <c r="F37" s="100">
        <f>F33-F35</f>
        <v>15.935589142216713</v>
      </c>
      <c r="G37" s="100">
        <f>G33-G35</f>
        <v>23.60273175399186</v>
      </c>
      <c r="H37" s="100">
        <f>H33-H35</f>
        <v>26.3633374426621</v>
      </c>
      <c r="I37" s="100">
        <f>I33-I35</f>
        <v>23.726589635165737</v>
      </c>
      <c r="J37" s="101">
        <f>J33-J35</f>
        <v>15.1484027780092</v>
      </c>
    </row>
    <row r="38" spans="2:10" ht="12.75">
      <c r="B38" s="73"/>
      <c r="C38" s="74"/>
      <c r="D38" s="74" t="s">
        <v>34</v>
      </c>
      <c r="E38" s="75">
        <v>0.1</v>
      </c>
      <c r="F38" s="75">
        <f>E38</f>
        <v>0.1</v>
      </c>
      <c r="G38" s="75">
        <f>F38</f>
        <v>0.1</v>
      </c>
      <c r="H38" s="75">
        <f>G38</f>
        <v>0.1</v>
      </c>
      <c r="I38" s="75">
        <f>H38</f>
        <v>0.1</v>
      </c>
      <c r="J38" s="76"/>
    </row>
    <row r="39" spans="2:10" ht="13.5" thickBot="1">
      <c r="B39" s="77"/>
      <c r="C39" s="78"/>
      <c r="D39" s="8" t="s">
        <v>35</v>
      </c>
      <c r="E39" s="20">
        <f>NPV(E38,F23:$J23)</f>
        <v>12000.00300250231</v>
      </c>
      <c r="F39" s="20">
        <f>NPV(F38,G23:$J23)</f>
        <v>10362.027702752543</v>
      </c>
      <c r="G39" s="20">
        <f>NPV(G38,H23:$J23)</f>
        <v>8560.254873027796</v>
      </c>
      <c r="H39" s="20">
        <f>NPV(H38,I23:$J23)</f>
        <v>6578.304760330577</v>
      </c>
      <c r="I39" s="20">
        <f>NPV(I38,J23:$J23)</f>
        <v>4398.159636363635</v>
      </c>
      <c r="J39" s="79"/>
    </row>
    <row r="40" spans="2:10" ht="12.75">
      <c r="B40" s="73"/>
      <c r="C40" s="74"/>
      <c r="D40" s="59" t="s">
        <v>36</v>
      </c>
      <c r="E40" s="80">
        <v>0.08</v>
      </c>
      <c r="F40" s="80">
        <v>0.08</v>
      </c>
      <c r="G40" s="80">
        <v>0.08</v>
      </c>
      <c r="H40" s="80">
        <v>0.08</v>
      </c>
      <c r="I40" s="80">
        <v>0.08</v>
      </c>
      <c r="J40" s="76"/>
    </row>
    <row r="41" spans="2:10" ht="12.75">
      <c r="B41" s="40"/>
      <c r="C41" s="41"/>
      <c r="D41" s="35" t="s">
        <v>37</v>
      </c>
      <c r="E41" s="62"/>
      <c r="F41" s="82">
        <f>F15*0.34</f>
        <v>169.8029543580908</v>
      </c>
      <c r="G41" s="82">
        <f>G15*0.34</f>
        <v>145.74540072027878</v>
      </c>
      <c r="H41" s="82">
        <f>H15*0.34</f>
        <v>119.6448990265043</v>
      </c>
      <c r="I41" s="82">
        <f>I15*0.34</f>
        <v>91.3212414755777</v>
      </c>
      <c r="J41" s="85">
        <f>J15*0.34</f>
        <v>60.5778026433177</v>
      </c>
    </row>
    <row r="42" spans="2:10" ht="12.75">
      <c r="B42" s="40"/>
      <c r="C42" s="41"/>
      <c r="D42" s="35" t="s">
        <v>38</v>
      </c>
      <c r="E42" s="82">
        <f>NPV(E40,F41:$J41)</f>
        <v>485.50819924900134</v>
      </c>
      <c r="F42" s="82">
        <f>NPV(F40,G41:$J41)</f>
        <v>354.5459008308307</v>
      </c>
      <c r="G42" s="82">
        <f>NPV(G40,H41:$J41)</f>
        <v>237.1641721770184</v>
      </c>
      <c r="H42" s="82">
        <f>NPV(H40,I41:$J41)</f>
        <v>136.49240692467558</v>
      </c>
      <c r="I42" s="82">
        <f>NPV(I40,J41:$J41)</f>
        <v>56.09055800307194</v>
      </c>
      <c r="J42" s="86"/>
    </row>
    <row r="43" spans="2:10" ht="12.75">
      <c r="B43" s="40"/>
      <c r="C43" s="41"/>
      <c r="D43" s="35" t="s">
        <v>39</v>
      </c>
      <c r="E43" s="62">
        <f>E39+E42</f>
        <v>12485.511201751311</v>
      </c>
      <c r="F43" s="62">
        <f>F39+F42</f>
        <v>10716.573603583372</v>
      </c>
      <c r="G43" s="62">
        <f>G39+G42</f>
        <v>8797.419045204815</v>
      </c>
      <c r="H43" s="62">
        <f>H39+H42</f>
        <v>6714.797167255252</v>
      </c>
      <c r="I43" s="62">
        <f>I39+I42</f>
        <v>4454.250194366708</v>
      </c>
      <c r="J43" s="86"/>
    </row>
    <row r="44" spans="2:10" ht="12.75">
      <c r="B44" s="40"/>
      <c r="C44" s="41"/>
      <c r="D44" s="35" t="s">
        <v>40</v>
      </c>
      <c r="E44" s="62">
        <f>E43-E7</f>
        <v>6242.755526821503</v>
      </c>
      <c r="F44" s="62">
        <f>F43-F7</f>
        <v>5358.286812396654</v>
      </c>
      <c r="G44" s="62">
        <f>G43-G7</f>
        <v>4398.709522171569</v>
      </c>
      <c r="H44" s="62">
        <f>H43-H7</f>
        <v>3357.3985835943076</v>
      </c>
      <c r="I44" s="62">
        <f>I43-I7</f>
        <v>2227.12509718591</v>
      </c>
      <c r="J44" s="86"/>
    </row>
    <row r="45" spans="2:10" ht="13.5" thickBot="1">
      <c r="B45" s="77"/>
      <c r="C45" s="78"/>
      <c r="D45" s="8" t="s">
        <v>30</v>
      </c>
      <c r="E45" s="87">
        <f>E38+(E7-E42)*(E38-E40)/E44</f>
        <v>0.1184445713145269</v>
      </c>
      <c r="F45" s="87">
        <f>F38+(F7-F42)*(F38-F40)/F44</f>
        <v>0.11867664447815483</v>
      </c>
      <c r="G45" s="87">
        <f>G38+(G7-G42)*(G38-G40)/G44</f>
        <v>0.11892166477408922</v>
      </c>
      <c r="H45" s="87">
        <f>H38+(H7-H42)*(H38-H40)/H44</f>
        <v>0.11918691568212962</v>
      </c>
      <c r="I45" s="87">
        <f>I38+(I7-I42)*(I38-I40)/I44</f>
        <v>0.11949629629625155</v>
      </c>
      <c r="J45" s="79"/>
    </row>
    <row r="46" spans="2:10" s="104" customFormat="1" ht="12.75">
      <c r="B46" s="102"/>
      <c r="C46" s="102"/>
      <c r="D46" s="89" t="s">
        <v>54</v>
      </c>
      <c r="E46" s="36">
        <f>E40*0.66*E7/E9+E8/E9*E27</f>
        <v>0.08429431949210664</v>
      </c>
      <c r="F46" s="36">
        <f>F40*0.66*F7/F9+F8/F9*F27</f>
        <v>0.08337804913688114</v>
      </c>
      <c r="G46" s="36">
        <f>G40*0.66*G7/G9+G8/G9*G27</f>
        <v>0.08256541520225566</v>
      </c>
      <c r="H46" s="36">
        <f>H40*0.66*H7/H9+H8/H9*H27</f>
        <v>0.08203902623494302</v>
      </c>
      <c r="I46" s="36">
        <f>I40*0.66*I7/I9+I8/I9*I27</f>
        <v>0.08236104745366199</v>
      </c>
      <c r="J46" s="103"/>
    </row>
    <row r="47" spans="2:10" ht="12.75">
      <c r="B47" s="41"/>
      <c r="C47" s="106" t="s">
        <v>56</v>
      </c>
      <c r="D47" s="107" t="s">
        <v>55</v>
      </c>
      <c r="E47" s="106"/>
      <c r="F47" s="108">
        <f>E9*(E29-E46)</f>
        <v>15.935589142216655</v>
      </c>
      <c r="G47" s="108">
        <f>F9*(F29-F46)</f>
        <v>23.602731753991772</v>
      </c>
      <c r="H47" s="108">
        <f>G9*(G29-G46)</f>
        <v>26.36333744266206</v>
      </c>
      <c r="I47" s="108">
        <f>H9*(H29-H46)</f>
        <v>23.726589635165716</v>
      </c>
      <c r="J47" s="108">
        <f>I9*(I29-I46)</f>
        <v>15.148402778009217</v>
      </c>
    </row>
    <row r="48" spans="2:10" ht="12.75">
      <c r="B48" s="41"/>
      <c r="C48" s="41"/>
      <c r="D48" s="35"/>
      <c r="F48" s="105"/>
      <c r="G48" s="105"/>
      <c r="H48" s="105"/>
      <c r="I48" s="105"/>
      <c r="J48" s="105"/>
    </row>
    <row r="49" spans="2:10" ht="12.75">
      <c r="B49" s="41"/>
      <c r="C49" s="41"/>
      <c r="D49" s="89" t="s">
        <v>44</v>
      </c>
      <c r="E49" s="83"/>
      <c r="F49" s="88">
        <f>1/(1+E27)</f>
        <v>0.894098845773903</v>
      </c>
      <c r="G49" s="88">
        <f>F49/(1+F27)</f>
        <v>0.7992469048977194</v>
      </c>
      <c r="H49" s="88">
        <f>G49/(1+G27)</f>
        <v>0.7143010364982184</v>
      </c>
      <c r="I49" s="88">
        <f>H49/(1+H27)</f>
        <v>0.6382321187720957</v>
      </c>
      <c r="J49" s="88">
        <f>I49/(1+I27)</f>
        <v>0.5701065031511199</v>
      </c>
    </row>
    <row r="50" spans="2:10" ht="12.75">
      <c r="B50" s="41"/>
      <c r="C50" s="41"/>
      <c r="D50" s="35" t="s">
        <v>46</v>
      </c>
      <c r="E50" s="83"/>
      <c r="F50" s="90">
        <f>F22*F49</f>
        <v>1451.9174742451808</v>
      </c>
      <c r="G50" s="90">
        <f>G22*G49</f>
        <v>1275.1830826493112</v>
      </c>
      <c r="H50" s="90">
        <f>H22*H49</f>
        <v>1117.461682987863</v>
      </c>
      <c r="I50" s="90">
        <f>I22*I49</f>
        <v>976.7705186502292</v>
      </c>
      <c r="J50" s="90">
        <f>J22*J49</f>
        <v>1421.4227695474515</v>
      </c>
    </row>
    <row r="51" spans="2:10" ht="12.75">
      <c r="B51" s="41"/>
      <c r="C51" s="41"/>
      <c r="D51" s="35" t="s">
        <v>47</v>
      </c>
      <c r="E51" s="83"/>
      <c r="F51" s="92">
        <f>F33*F49</f>
        <v>-155.17642841157607</v>
      </c>
      <c r="G51" s="92">
        <f>G33*G49</f>
        <v>3.3529275891871424</v>
      </c>
      <c r="H51" s="92">
        <f>H33*H49</f>
        <v>126.75434637720053</v>
      </c>
      <c r="I51" s="92">
        <f>I33*I49</f>
        <v>220.66329345175478</v>
      </c>
      <c r="J51" s="92">
        <f>J33*J49</f>
        <v>289.91706400327877</v>
      </c>
    </row>
    <row r="52" spans="2:10" ht="12.75">
      <c r="B52" s="41"/>
      <c r="C52" s="41"/>
      <c r="D52" s="35"/>
      <c r="E52" s="83"/>
      <c r="F52" s="83"/>
      <c r="G52" s="83"/>
      <c r="H52" s="83"/>
      <c r="I52" s="83"/>
      <c r="J52" s="41"/>
    </row>
    <row r="53" spans="2:10" ht="12.75">
      <c r="B53" s="41"/>
      <c r="C53" s="41"/>
      <c r="D53" s="93" t="s">
        <v>48</v>
      </c>
      <c r="E53" s="83"/>
      <c r="F53" s="88">
        <f>1/(1+E29)</f>
        <v>0.9211306856749643</v>
      </c>
      <c r="G53" s="88">
        <f>F53/(1+F29)</f>
        <v>0.8483910595632715</v>
      </c>
      <c r="H53" s="88">
        <f>G53/(1+G29)</f>
        <v>0.7813073593434047</v>
      </c>
      <c r="I53" s="88">
        <f>H53/(1+H29)</f>
        <v>0.7194402081360758</v>
      </c>
      <c r="J53" s="88">
        <f>I53/(1+I29)</f>
        <v>0.662377604162646</v>
      </c>
    </row>
    <row r="54" spans="2:10" ht="12.75">
      <c r="B54" s="41"/>
      <c r="C54" s="41"/>
      <c r="D54" s="35" t="s">
        <v>49</v>
      </c>
      <c r="E54" s="83"/>
      <c r="F54" s="88">
        <f>F23*F53</f>
        <v>2614.146410356818</v>
      </c>
      <c r="G54" s="88">
        <f>G23*G53</f>
        <v>2407.713126298711</v>
      </c>
      <c r="H54" s="88">
        <f>H23*H53</f>
        <v>2217.331221917015</v>
      </c>
      <c r="I54" s="88">
        <f>I23*I53</f>
        <v>2041.7537563491044</v>
      </c>
      <c r="J54" s="88">
        <f>J23*J53</f>
        <v>3204.5666869253396</v>
      </c>
    </row>
    <row r="55" spans="2:10" ht="12.75">
      <c r="B55" s="41"/>
      <c r="C55" s="41"/>
      <c r="D55" s="35" t="s">
        <v>50</v>
      </c>
      <c r="E55" s="83"/>
      <c r="F55" s="88">
        <f>F53*F35</f>
        <v>-174.54673289353934</v>
      </c>
      <c r="G55" s="88">
        <f>G53*G35</f>
        <v>-16.465253944759766</v>
      </c>
      <c r="H55" s="88">
        <f>H53*H35</f>
        <v>118.04690147127022</v>
      </c>
      <c r="I55" s="88">
        <f>I53*I35</f>
        <v>231.67043283297977</v>
      </c>
      <c r="J55" s="88">
        <f>J53*J35</f>
        <v>326.8058543810367</v>
      </c>
    </row>
    <row r="56" spans="2:10" ht="12.75">
      <c r="B56" s="41"/>
      <c r="C56" s="41"/>
      <c r="D56" s="35" t="s">
        <v>53</v>
      </c>
      <c r="E56" s="83"/>
      <c r="F56" s="91">
        <f>F53*F63</f>
        <v>156.5122403400086</v>
      </c>
      <c r="G56" s="91">
        <f>G53*G63</f>
        <v>142.97148305902516</v>
      </c>
      <c r="H56" s="91">
        <f>H53*H63</f>
        <v>130.51787201184752</v>
      </c>
      <c r="I56" s="91">
        <f>I53*I63</f>
        <v>119.03793359753358</v>
      </c>
      <c r="J56" s="91">
        <f>J53*J63</f>
        <v>108.36684541767659</v>
      </c>
    </row>
    <row r="57" ht="13.5" thickBot="1"/>
    <row r="58" spans="4:10" ht="15.75">
      <c r="D58" s="73"/>
      <c r="E58" s="2"/>
      <c r="F58" s="2">
        <v>1</v>
      </c>
      <c r="G58" s="2">
        <v>2</v>
      </c>
      <c r="H58" s="2">
        <v>3</v>
      </c>
      <c r="I58" s="2">
        <v>4</v>
      </c>
      <c r="J58" s="3">
        <v>5</v>
      </c>
    </row>
    <row r="59" spans="3:10" ht="12.75">
      <c r="C59" s="41"/>
      <c r="D59" s="113" t="s">
        <v>52</v>
      </c>
      <c r="E59" s="41"/>
      <c r="F59" s="42">
        <f>F17+F15*0.66</f>
        <v>837.9756</v>
      </c>
      <c r="G59" s="42">
        <f>G17+G15*0.66</f>
        <v>837.9755999999999</v>
      </c>
      <c r="H59" s="42">
        <f>H17+H15*0.66</f>
        <v>837.9755999999998</v>
      </c>
      <c r="I59" s="42">
        <f>I17+I15*0.66</f>
        <v>837.9756</v>
      </c>
      <c r="J59" s="43">
        <f>J17+J15*0.66</f>
        <v>837.9755999999999</v>
      </c>
    </row>
    <row r="60" spans="3:10" ht="12.75">
      <c r="C60" s="41"/>
      <c r="D60" s="114" t="s">
        <v>14</v>
      </c>
      <c r="E60" s="41"/>
      <c r="F60" s="42">
        <f>F14</f>
        <v>2000</v>
      </c>
      <c r="G60" s="42">
        <f>G14</f>
        <v>2000</v>
      </c>
      <c r="H60" s="42">
        <f>H14</f>
        <v>2000</v>
      </c>
      <c r="I60" s="42">
        <f>I14</f>
        <v>2000</v>
      </c>
      <c r="J60" s="43">
        <f>J14</f>
        <v>2000</v>
      </c>
    </row>
    <row r="61" spans="3:10" ht="12.75">
      <c r="C61" s="41"/>
      <c r="D61" s="115" t="s">
        <v>19</v>
      </c>
      <c r="E61" s="41"/>
      <c r="F61" s="42">
        <v>1640.595</v>
      </c>
      <c r="G61" s="42">
        <f>F61</f>
        <v>1640.595</v>
      </c>
      <c r="H61" s="42">
        <f>G61</f>
        <v>1640.595</v>
      </c>
      <c r="I61" s="42">
        <f>H61</f>
        <v>1640.595</v>
      </c>
      <c r="J61" s="43">
        <f>I61</f>
        <v>1640.595</v>
      </c>
    </row>
    <row r="62" spans="3:10" ht="12.75">
      <c r="C62" s="41"/>
      <c r="D62" s="115" t="s">
        <v>20</v>
      </c>
      <c r="E62" s="41"/>
      <c r="F62" s="42">
        <f>$E9*E29</f>
        <v>1027.4674230474964</v>
      </c>
      <c r="G62" s="42">
        <f>$E9*F29</f>
        <v>1028.8598677473638</v>
      </c>
      <c r="H62" s="42">
        <f>$E9*G29</f>
        <v>1030.329988591061</v>
      </c>
      <c r="I62" s="42">
        <f>$E9*H29</f>
        <v>1031.9214940896477</v>
      </c>
      <c r="J62" s="43">
        <f>$E9*I29</f>
        <v>1033.7777777779716</v>
      </c>
    </row>
    <row r="63" spans="2:10" s="48" customFormat="1" ht="13.5" thickBot="1">
      <c r="B63"/>
      <c r="C63" s="41"/>
      <c r="D63" s="45" t="s">
        <v>21</v>
      </c>
      <c r="E63" s="44"/>
      <c r="F63" s="46">
        <f>F59+F60-F61-F62</f>
        <v>169.91317695250336</v>
      </c>
      <c r="G63" s="46">
        <f>G59+G60-G61-G62</f>
        <v>168.52073225263598</v>
      </c>
      <c r="H63" s="46">
        <f>H59+H60-H61-H62</f>
        <v>167.05061140893872</v>
      </c>
      <c r="I63" s="46">
        <f>I59+I60-I61-I62</f>
        <v>165.45910591035204</v>
      </c>
      <c r="J63" s="47">
        <f>J59+J60-J61-J62</f>
        <v>163.60282222202818</v>
      </c>
    </row>
    <row r="64" spans="3:5" ht="13.5" thickBot="1">
      <c r="C64" s="41"/>
      <c r="D64" s="49" t="s">
        <v>23</v>
      </c>
      <c r="E64" s="109">
        <f>NPV(E27,F56:J56)</f>
        <v>485.5103059424761</v>
      </c>
    </row>
    <row r="65" spans="3:5" ht="12.75">
      <c r="C65" s="41"/>
      <c r="E65" s="110"/>
    </row>
  </sheetData>
  <mergeCells count="2">
    <mergeCell ref="C2:D2"/>
    <mergeCell ref="C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2004-03-01T12:44:09Z</dcterms:created>
  <dcterms:modified xsi:type="dcterms:W3CDTF">2004-03-06T10:18:07Z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54573661</vt:i4>
  </property>
  <property fmtid="{D5CDD505-2E9C-101B-9397-08002B2CF9AE}" pid="4" name="_EmailSubje">
    <vt:lpwstr> Cambiar estas tablas cap 18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