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8.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<sst xmlns="http://schemas.openxmlformats.org/spreadsheetml/2006/main" count="52" uniqueCount="51">
  <si>
    <t>Balance (millones)</t>
  </si>
  <si>
    <t>NOF</t>
  </si>
  <si>
    <t>Activo fijo bruto</t>
  </si>
  <si>
    <t xml:space="preserve"> - amort. acumulada</t>
  </si>
  <si>
    <t>TOTAL ACTIVO NETO</t>
  </si>
  <si>
    <t>Deuda</t>
  </si>
  <si>
    <t>Capital (valor contable)</t>
  </si>
  <si>
    <t>TOTAL PASIVO</t>
  </si>
  <si>
    <t>Cuenta de resultados (millones)</t>
  </si>
  <si>
    <t>Ventas</t>
  </si>
  <si>
    <t>Coste de ventas</t>
  </si>
  <si>
    <t>Gastos generales</t>
  </si>
  <si>
    <t>Amortización</t>
  </si>
  <si>
    <t>Impuestos</t>
  </si>
  <si>
    <t xml:space="preserve"> + Amortización</t>
  </si>
  <si>
    <t xml:space="preserve"> - ∆ NOF</t>
  </si>
  <si>
    <t>ROGI</t>
  </si>
  <si>
    <t>E = VA(Ke;CFac)</t>
  </si>
  <si>
    <t>E - Evc</t>
  </si>
  <si>
    <t>MVA = VA(EVA; WACC)</t>
  </si>
  <si>
    <t>Intereses</t>
  </si>
  <si>
    <t>ROA</t>
  </si>
  <si>
    <t>ROE</t>
  </si>
  <si>
    <t>BFO</t>
  </si>
  <si>
    <t xml:space="preserve"> + ∆ Deuda</t>
  </si>
  <si>
    <t xml:space="preserve"> - Inversiones</t>
  </si>
  <si>
    <t>Ke</t>
  </si>
  <si>
    <t>WACC</t>
  </si>
  <si>
    <t>FCF</t>
  </si>
  <si>
    <t>VA(WACC;FCF) -D = E</t>
  </si>
  <si>
    <t>Ku</t>
  </si>
  <si>
    <t>Vu = VA(Ku;FCF)</t>
  </si>
  <si>
    <t>Kd</t>
  </si>
  <si>
    <t>Intereses x T</t>
  </si>
  <si>
    <t xml:space="preserve">VTS </t>
  </si>
  <si>
    <t>E + D</t>
  </si>
  <si>
    <t>E</t>
  </si>
  <si>
    <t>BE</t>
  </si>
  <si>
    <t>EVA</t>
  </si>
  <si>
    <t>MVA = VA(BE; Ke)</t>
  </si>
  <si>
    <t>factor para actualizar con Ke</t>
  </si>
  <si>
    <t xml:space="preserve">CF acciones = Div. </t>
  </si>
  <si>
    <t>VA (CFac en t = 0)</t>
  </si>
  <si>
    <t>VA (BE en t = 0)</t>
  </si>
  <si>
    <t>factor para actualizar con WACC</t>
  </si>
  <si>
    <t>VA (FCF en t = 0)</t>
  </si>
  <si>
    <t>VA (EVA en t = 0)</t>
  </si>
  <si>
    <t>BE - EVA</t>
  </si>
  <si>
    <t>WACCvc</t>
  </si>
  <si>
    <t>BE-EVA</t>
  </si>
  <si>
    <t>Check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</si>
</sst>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  <numFmt numFmtId="178" formatCode="#,##0.0_);[Red]\(#,##0.0\)"/>
    <numFmt numFmtId="179" formatCode="#,##0.000"/>
    <numFmt numFmtId="180" formatCode="0.000"/>
    <numFmt numFmtId="181" formatCode="0.0"/>
    <numFmt numFmtId="182" formatCode="0.000%"/>
  </numFmts>
  <fonts count="9">
    <font>
      <sz val="10"/>
      <name val="Arial"/>
      <family val="0"/>
    </font>
    <font>
      <sz val="9"/>
      <color indexed="8"/>
      <name val="Times"/>
      <family val="1"/>
    </font>
    <font>
      <b/>
      <i/>
      <sz val="9"/>
      <color indexed="8"/>
      <name val="Times"/>
      <family val="1"/>
    </font>
    <font>
      <b/>
      <sz val="9"/>
      <color indexed="8"/>
      <name val="Times"/>
      <family val="1"/>
    </font>
    <font>
      <sz val="10"/>
      <name val="Times"/>
      <family val="1"/>
    </font>
    <font>
      <sz val="8"/>
      <color indexed="8"/>
      <name val="Times"/>
      <family val="1"/>
    </font>
    <font>
      <sz val="10"/>
      <color indexed="8"/>
      <name val="Times"/>
      <family val="1"/>
    </font>
    <font>
      <b/>
      <i/>
      <sz val="10"/>
      <color indexed="8"/>
      <name val="Times"/>
      <family val="1"/>
    </font>
    <font>
      <b/>
      <u val="single"/>
      <sz val="10"/>
      <color indexed="8"/>
      <name val="Times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 wrapText="1"/>
    </xf>
    <xf numFmtId="10" fontId="1" fillId="0" borderId="5" xfId="19" applyNumberFormat="1" applyFont="1" applyBorder="1" applyAlignment="1">
      <alignment horizontal="right" vertical="top" wrapText="1"/>
    </xf>
    <xf numFmtId="38" fontId="3" fillId="0" borderId="5" xfId="0" applyNumberFormat="1" applyFont="1" applyBorder="1" applyAlignment="1">
      <alignment horizontal="right" vertical="top" wrapText="1"/>
    </xf>
    <xf numFmtId="178" fontId="3" fillId="0" borderId="5" xfId="0" applyNumberFormat="1" applyFont="1" applyBorder="1" applyAlignment="1">
      <alignment horizontal="right" vertical="top" wrapText="1"/>
    </xf>
    <xf numFmtId="179" fontId="3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181" fontId="3" fillId="0" borderId="8" xfId="0" applyNumberFormat="1" applyFont="1" applyBorder="1" applyAlignment="1">
      <alignment horizontal="right" vertical="top" wrapText="1"/>
    </xf>
    <xf numFmtId="181" fontId="3" fillId="0" borderId="9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0" fontId="1" fillId="0" borderId="0" xfId="19" applyNumberFormat="1" applyFont="1" applyBorder="1" applyAlignment="1">
      <alignment horizontal="right" vertical="top" wrapText="1"/>
    </xf>
    <xf numFmtId="10" fontId="1" fillId="0" borderId="3" xfId="19" applyNumberFormat="1" applyFont="1" applyBorder="1" applyAlignment="1">
      <alignment horizontal="right" vertical="top" wrapText="1"/>
    </xf>
    <xf numFmtId="10" fontId="1" fillId="0" borderId="6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7" fontId="1" fillId="0" borderId="0" xfId="0" applyNumberFormat="1" applyFont="1" applyBorder="1" applyAlignment="1">
      <alignment horizontal="right" vertical="top" wrapText="1"/>
    </xf>
    <xf numFmtId="177" fontId="3" fillId="0" borderId="5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177" fontId="1" fillId="0" borderId="3" xfId="0" applyNumberFormat="1" applyFont="1" applyBorder="1" applyAlignment="1">
      <alignment horizontal="right" vertical="top" wrapText="1"/>
    </xf>
    <xf numFmtId="177" fontId="3" fillId="0" borderId="6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179" fontId="3" fillId="0" borderId="6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10" fontId="1" fillId="0" borderId="8" xfId="19" applyNumberFormat="1" applyFont="1" applyBorder="1" applyAlignment="1">
      <alignment horizontal="right" vertical="top" wrapText="1"/>
    </xf>
    <xf numFmtId="10" fontId="1" fillId="0" borderId="9" xfId="19" applyNumberFormat="1" applyFont="1" applyBorder="1" applyAlignment="1">
      <alignment horizontal="right" vertical="top" wrapText="1"/>
    </xf>
    <xf numFmtId="38" fontId="3" fillId="0" borderId="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vertical="top" wrapText="1"/>
    </xf>
    <xf numFmtId="179" fontId="3" fillId="0" borderId="12" xfId="0" applyNumberFormat="1" applyFont="1" applyBorder="1" applyAlignment="1">
      <alignment horizontal="right" vertical="top" wrapText="1"/>
    </xf>
    <xf numFmtId="179" fontId="3" fillId="0" borderId="13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178" fontId="3" fillId="0" borderId="15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6" fontId="3" fillId="0" borderId="8" xfId="19" applyNumberFormat="1" applyFont="1" applyBorder="1" applyAlignment="1">
      <alignment horizontal="right" vertical="top" wrapText="1"/>
    </xf>
    <xf numFmtId="10" fontId="3" fillId="0" borderId="8" xfId="19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vertical="top" wrapText="1"/>
    </xf>
    <xf numFmtId="10" fontId="3" fillId="0" borderId="0" xfId="19" applyNumberFormat="1" applyFont="1" applyBorder="1" applyAlignment="1">
      <alignment horizontal="right" vertical="top" wrapText="1"/>
    </xf>
    <xf numFmtId="178" fontId="3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/>
    </xf>
    <xf numFmtId="10" fontId="3" fillId="0" borderId="5" xfId="19" applyNumberFormat="1" applyFont="1" applyBorder="1" applyAlignment="1">
      <alignment horizontal="right" vertical="top" wrapText="1"/>
    </xf>
    <xf numFmtId="2" fontId="3" fillId="0" borderId="0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3" fillId="0" borderId="0" xfId="19" applyNumberFormat="1" applyFont="1" applyBorder="1" applyAlignment="1">
      <alignment horizontal="right" vertical="top" wrapText="1"/>
    </xf>
    <xf numFmtId="177" fontId="3" fillId="0" borderId="0" xfId="19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2" fontId="4" fillId="0" borderId="8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top" wrapText="1"/>
    </xf>
    <xf numFmtId="178" fontId="3" fillId="0" borderId="12" xfId="0" applyNumberFormat="1" applyFont="1" applyBorder="1" applyAlignment="1">
      <alignment horizontal="right" vertical="top" wrapText="1"/>
    </xf>
    <xf numFmtId="178" fontId="3" fillId="0" borderId="13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1" fontId="3" fillId="0" borderId="0" xfId="19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3" fillId="0" borderId="17" xfId="0" applyFont="1" applyBorder="1" applyAlignment="1">
      <alignment vertical="top" wrapText="1"/>
    </xf>
    <xf numFmtId="181" fontId="3" fillId="0" borderId="17" xfId="19" applyNumberFormat="1" applyFont="1" applyBorder="1" applyAlignment="1">
      <alignment horizontal="right" vertical="top" wrapText="1"/>
    </xf>
    <xf numFmtId="10" fontId="3" fillId="0" borderId="8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10" fontId="3" fillId="0" borderId="9" xfId="19" applyNumberFormat="1" applyFont="1" applyBorder="1" applyAlignment="1">
      <alignment horizontal="right" vertical="top" wrapText="1"/>
    </xf>
    <xf numFmtId="2" fontId="4" fillId="0" borderId="9" xfId="0" applyNumberFormat="1" applyFont="1" applyBorder="1" applyAlignment="1">
      <alignment/>
    </xf>
    <xf numFmtId="3" fontId="2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178" fontId="3" fillId="0" borderId="8" xfId="0" applyNumberFormat="1" applyFont="1" applyBorder="1" applyAlignment="1">
      <alignment horizontal="right" vertical="top" wrapText="1"/>
    </xf>
    <xf numFmtId="178" fontId="3" fillId="0" borderId="9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7"/>
  <sheetViews>
    <sheetView tabSelected="1" workbookViewId="0" topLeftCell="A1">
      <pane ySplit="2340" topLeftCell="BM23" activePane="bottomLeft" state="split"/>
      <selection pane="topLeft" activeCell="L6" sqref="L6"/>
      <selection pane="bottomLeft" activeCell="D39" sqref="D39"/>
    </sheetView>
  </sheetViews>
  <sheetFormatPr defaultColWidth="9.140625" defaultRowHeight="12.75"/>
  <cols>
    <col min="3" max="3" width="4.8515625" style="0" customWidth="1"/>
    <col min="4" max="4" width="21.421875" style="0" customWidth="1"/>
    <col min="5" max="7" width="8.57421875" style="0" customWidth="1"/>
  </cols>
  <sheetData>
    <row r="1" ht="12.75" customHeight="1" thickBot="1"/>
    <row r="2" spans="2:10" s="102" customFormat="1" ht="12.75" customHeight="1" thickBot="1">
      <c r="B2" s="103"/>
      <c r="C2" s="104" t="s">
        <v>0</v>
      </c>
      <c r="D2" s="104"/>
      <c r="E2" s="105">
        <v>0</v>
      </c>
      <c r="F2" s="105">
        <v>1</v>
      </c>
      <c r="G2" s="105">
        <v>2</v>
      </c>
      <c r="H2" s="105">
        <v>3</v>
      </c>
      <c r="I2" s="105">
        <v>4</v>
      </c>
      <c r="J2" s="106">
        <v>5</v>
      </c>
    </row>
    <row r="3" spans="2:10" ht="12.75" customHeight="1">
      <c r="B3" s="2">
        <v>1</v>
      </c>
      <c r="C3" s="26"/>
      <c r="D3" s="27" t="s">
        <v>1</v>
      </c>
      <c r="E3" s="26">
        <v>2000</v>
      </c>
      <c r="F3" s="26">
        <v>2000</v>
      </c>
      <c r="G3" s="26">
        <v>2000</v>
      </c>
      <c r="H3" s="26">
        <v>2000</v>
      </c>
      <c r="I3" s="26">
        <v>2000</v>
      </c>
      <c r="J3" s="9">
        <v>0</v>
      </c>
    </row>
    <row r="4" spans="2:10" ht="12.75" customHeight="1">
      <c r="B4" s="2">
        <v>2</v>
      </c>
      <c r="C4" s="26"/>
      <c r="D4" s="27" t="s">
        <v>2</v>
      </c>
      <c r="E4" s="26">
        <v>10000</v>
      </c>
      <c r="F4" s="26">
        <v>10000</v>
      </c>
      <c r="G4" s="26">
        <v>10000</v>
      </c>
      <c r="H4" s="26">
        <v>10000</v>
      </c>
      <c r="I4" s="26">
        <v>10000</v>
      </c>
      <c r="J4" s="9">
        <v>10000</v>
      </c>
    </row>
    <row r="5" spans="2:10" ht="12.75" customHeight="1">
      <c r="B5" s="2">
        <v>3</v>
      </c>
      <c r="C5" s="26"/>
      <c r="D5" s="27" t="s">
        <v>3</v>
      </c>
      <c r="E5" s="26">
        <v>0</v>
      </c>
      <c r="F5" s="26">
        <v>2000</v>
      </c>
      <c r="G5" s="26">
        <v>4000</v>
      </c>
      <c r="H5" s="26">
        <v>6000</v>
      </c>
      <c r="I5" s="26">
        <v>8000</v>
      </c>
      <c r="J5" s="9">
        <v>10000</v>
      </c>
    </row>
    <row r="6" spans="2:10" ht="12.75" customHeight="1" thickBot="1">
      <c r="B6" s="2">
        <v>4</v>
      </c>
      <c r="C6" s="28"/>
      <c r="D6" s="10" t="s">
        <v>4</v>
      </c>
      <c r="E6" s="11">
        <f aca="true" t="shared" si="0" ref="E6:J6">E3+E4-E5</f>
        <v>12000</v>
      </c>
      <c r="F6" s="11">
        <f t="shared" si="0"/>
        <v>10000</v>
      </c>
      <c r="G6" s="11">
        <f t="shared" si="0"/>
        <v>8000</v>
      </c>
      <c r="H6" s="11">
        <f t="shared" si="0"/>
        <v>6000</v>
      </c>
      <c r="I6" s="11">
        <f t="shared" si="0"/>
        <v>4000</v>
      </c>
      <c r="J6" s="29">
        <f t="shared" si="0"/>
        <v>0</v>
      </c>
    </row>
    <row r="7" spans="2:10" ht="12.75" customHeight="1">
      <c r="B7" s="2">
        <v>5</v>
      </c>
      <c r="C7" s="26"/>
      <c r="D7" s="27" t="s">
        <v>5</v>
      </c>
      <c r="E7" s="26">
        <f>E28</f>
        <v>6242.755620858523</v>
      </c>
      <c r="F7" s="26">
        <f>F28</f>
        <v>5358.286854247205</v>
      </c>
      <c r="G7" s="26">
        <f>G28</f>
        <v>4398.709513365407</v>
      </c>
      <c r="H7" s="26">
        <f>H28</f>
        <v>3357.398584190331</v>
      </c>
      <c r="I7" s="26">
        <f>I28</f>
        <v>2227.1250971768095</v>
      </c>
      <c r="J7" s="9">
        <v>0</v>
      </c>
    </row>
    <row r="8" spans="2:10" ht="12.75" customHeight="1">
      <c r="B8" s="2">
        <v>6</v>
      </c>
      <c r="C8" s="26"/>
      <c r="D8" s="27" t="s">
        <v>6</v>
      </c>
      <c r="E8" s="26">
        <f>E6-E7</f>
        <v>5757.244379141477</v>
      </c>
      <c r="F8" s="26">
        <f>F6-F7</f>
        <v>4641.713145752795</v>
      </c>
      <c r="G8" s="26">
        <f>G6-G7</f>
        <v>3601.2904866345934</v>
      </c>
      <c r="H8" s="26">
        <f>H6-H7</f>
        <v>2642.601415809669</v>
      </c>
      <c r="I8" s="26">
        <f>I6-I7</f>
        <v>1772.8749028231905</v>
      </c>
      <c r="J8" s="9">
        <v>0</v>
      </c>
    </row>
    <row r="9" spans="2:10" ht="12.75" customHeight="1" thickBot="1">
      <c r="B9" s="2">
        <v>7</v>
      </c>
      <c r="C9" s="28"/>
      <c r="D9" s="10" t="s">
        <v>7</v>
      </c>
      <c r="E9" s="11">
        <f aca="true" t="shared" si="1" ref="E9:J9">E7+E8</f>
        <v>12000</v>
      </c>
      <c r="F9" s="11">
        <f t="shared" si="1"/>
        <v>10000</v>
      </c>
      <c r="G9" s="11">
        <f t="shared" si="1"/>
        <v>8000</v>
      </c>
      <c r="H9" s="11">
        <f t="shared" si="1"/>
        <v>6000</v>
      </c>
      <c r="I9" s="11">
        <f t="shared" si="1"/>
        <v>4000</v>
      </c>
      <c r="J9" s="29">
        <f t="shared" si="1"/>
        <v>0</v>
      </c>
    </row>
    <row r="10" spans="2:10" ht="12.75" customHeight="1">
      <c r="B10" s="2"/>
      <c r="C10" s="101" t="s">
        <v>8</v>
      </c>
      <c r="D10" s="101"/>
      <c r="E10" s="101"/>
      <c r="F10" s="30"/>
      <c r="G10" s="30"/>
      <c r="H10" s="30"/>
      <c r="I10" s="30"/>
      <c r="J10" s="12"/>
    </row>
    <row r="11" spans="2:10" ht="12.75" customHeight="1">
      <c r="B11" s="2">
        <v>8</v>
      </c>
      <c r="C11" s="30"/>
      <c r="D11" s="27" t="s">
        <v>9</v>
      </c>
      <c r="E11" s="26"/>
      <c r="F11" s="31">
        <v>10000</v>
      </c>
      <c r="G11" s="26">
        <f aca="true" t="shared" si="2" ref="G11:J13">F11</f>
        <v>10000</v>
      </c>
      <c r="H11" s="26">
        <f t="shared" si="2"/>
        <v>10000</v>
      </c>
      <c r="I11" s="26">
        <f t="shared" si="2"/>
        <v>10000</v>
      </c>
      <c r="J11" s="9">
        <f t="shared" si="2"/>
        <v>10000</v>
      </c>
    </row>
    <row r="12" spans="2:10" ht="12.75" customHeight="1">
      <c r="B12" s="2">
        <v>9</v>
      </c>
      <c r="C12" s="30"/>
      <c r="D12" s="27" t="s">
        <v>10</v>
      </c>
      <c r="E12" s="26"/>
      <c r="F12" s="31">
        <v>4000</v>
      </c>
      <c r="G12" s="26">
        <f t="shared" si="2"/>
        <v>4000</v>
      </c>
      <c r="H12" s="26">
        <f t="shared" si="2"/>
        <v>4000</v>
      </c>
      <c r="I12" s="26">
        <f t="shared" si="2"/>
        <v>4000</v>
      </c>
      <c r="J12" s="9">
        <f t="shared" si="2"/>
        <v>4000</v>
      </c>
    </row>
    <row r="13" spans="2:10" ht="12.75" customHeight="1">
      <c r="B13" s="2">
        <v>10</v>
      </c>
      <c r="C13" s="30"/>
      <c r="D13" s="27" t="s">
        <v>11</v>
      </c>
      <c r="E13" s="26"/>
      <c r="F13" s="31">
        <v>2730.34</v>
      </c>
      <c r="G13" s="26">
        <f t="shared" si="2"/>
        <v>2730.34</v>
      </c>
      <c r="H13" s="26">
        <f t="shared" si="2"/>
        <v>2730.34</v>
      </c>
      <c r="I13" s="26">
        <f t="shared" si="2"/>
        <v>2730.34</v>
      </c>
      <c r="J13" s="9">
        <f t="shared" si="2"/>
        <v>2730.34</v>
      </c>
    </row>
    <row r="14" spans="2:10" ht="12.75" customHeight="1">
      <c r="B14" s="2">
        <v>11</v>
      </c>
      <c r="C14" s="30"/>
      <c r="D14" s="27" t="s">
        <v>12</v>
      </c>
      <c r="E14" s="26"/>
      <c r="F14" s="31">
        <f>F5-E5</f>
        <v>2000</v>
      </c>
      <c r="G14" s="26">
        <f>G5-F5</f>
        <v>2000</v>
      </c>
      <c r="H14" s="26">
        <f>H5-G5</f>
        <v>2000</v>
      </c>
      <c r="I14" s="26">
        <f>I5-H5</f>
        <v>2000</v>
      </c>
      <c r="J14" s="9">
        <f>J5-I5</f>
        <v>2000</v>
      </c>
    </row>
    <row r="15" spans="2:10" ht="12.75" customHeight="1">
      <c r="B15" s="2">
        <v>12</v>
      </c>
      <c r="C15" s="30"/>
      <c r="D15" s="27" t="s">
        <v>20</v>
      </c>
      <c r="E15" s="26"/>
      <c r="F15" s="31">
        <f>0.08*E7</f>
        <v>499.42044966868184</v>
      </c>
      <c r="G15" s="31">
        <f>0.08*F7</f>
        <v>428.66294833977645</v>
      </c>
      <c r="H15" s="31">
        <f>0.08*G7</f>
        <v>351.8967610692325</v>
      </c>
      <c r="I15" s="31">
        <f>0.08*H7</f>
        <v>268.59188673522647</v>
      </c>
      <c r="J15" s="42">
        <f>0.08*I7</f>
        <v>178.17000777414475</v>
      </c>
    </row>
    <row r="16" spans="2:10" ht="12.75" customHeight="1">
      <c r="B16" s="2">
        <v>13</v>
      </c>
      <c r="C16" s="26"/>
      <c r="D16" s="27" t="s">
        <v>13</v>
      </c>
      <c r="E16" s="26"/>
      <c r="F16" s="31">
        <f>0.34*(F11-F12-F13-F14-F15)</f>
        <v>261.8814471126481</v>
      </c>
      <c r="G16" s="40">
        <f>0.34*(G11-G12-G13-G14-G15)</f>
        <v>285.938997564476</v>
      </c>
      <c r="H16" s="40">
        <f>0.34*(H11-H12-H13-H14-H15)</f>
        <v>312.0395012364609</v>
      </c>
      <c r="I16" s="40">
        <f>0.34*(I11-I12-I13-I14-I15)</f>
        <v>340.36315851002297</v>
      </c>
      <c r="J16" s="43">
        <f>0.34*(J11-J12-J13-J14-J15)</f>
        <v>371.10659735679076</v>
      </c>
    </row>
    <row r="17" spans="2:10" ht="12.75" customHeight="1" thickBot="1">
      <c r="B17" s="4">
        <v>14</v>
      </c>
      <c r="C17" s="13"/>
      <c r="D17" s="14" t="s">
        <v>23</v>
      </c>
      <c r="E17" s="13"/>
      <c r="F17" s="16">
        <f>F11-F12-F13-F14-F15-F16</f>
        <v>508.3581032186699</v>
      </c>
      <c r="G17" s="41">
        <f>G11-G12-G13-G14-G15-G16</f>
        <v>555.0580540957474</v>
      </c>
      <c r="H17" s="41">
        <f>H11-H12-H13-H14-H15-H16</f>
        <v>605.7237376943065</v>
      </c>
      <c r="I17" s="41">
        <f>I11-I12-I13-I14-I15-I16</f>
        <v>660.7049547547504</v>
      </c>
      <c r="J17" s="44">
        <f>J11-J12-J13-J14-J15-J16</f>
        <v>720.3833948690643</v>
      </c>
    </row>
    <row r="18" spans="2:10" ht="12.75" customHeight="1">
      <c r="B18" s="1">
        <v>15</v>
      </c>
      <c r="C18" s="45"/>
      <c r="D18" s="46" t="s">
        <v>14</v>
      </c>
      <c r="E18" s="45"/>
      <c r="F18" s="45">
        <f>F14</f>
        <v>2000</v>
      </c>
      <c r="G18" s="45">
        <f>G14</f>
        <v>2000</v>
      </c>
      <c r="H18" s="45">
        <f>H14</f>
        <v>2000</v>
      </c>
      <c r="I18" s="45">
        <f>I14</f>
        <v>2000</v>
      </c>
      <c r="J18" s="47">
        <f>J14</f>
        <v>2000</v>
      </c>
    </row>
    <row r="19" spans="2:10" ht="12.75" customHeight="1">
      <c r="B19" s="2">
        <v>16</v>
      </c>
      <c r="C19" s="26"/>
      <c r="D19" s="27" t="s">
        <v>24</v>
      </c>
      <c r="E19" s="26"/>
      <c r="F19" s="26">
        <f>F7-E7</f>
        <v>-884.4687666113177</v>
      </c>
      <c r="G19" s="26">
        <f>G7-F7</f>
        <v>-959.5773408817986</v>
      </c>
      <c r="H19" s="26">
        <f>H7-G7</f>
        <v>-1041.3109291750757</v>
      </c>
      <c r="I19" s="26">
        <f>I7-H7</f>
        <v>-1130.2734870135214</v>
      </c>
      <c r="J19" s="9">
        <f>J7-I7</f>
        <v>-2227.1250971768095</v>
      </c>
    </row>
    <row r="20" spans="2:10" ht="12.75" customHeight="1">
      <c r="B20" s="2">
        <v>17</v>
      </c>
      <c r="C20" s="26"/>
      <c r="D20" s="27" t="s">
        <v>15</v>
      </c>
      <c r="E20" s="26"/>
      <c r="F20" s="26">
        <f>-F3+E3</f>
        <v>0</v>
      </c>
      <c r="G20" s="26">
        <f>-G3+F3</f>
        <v>0</v>
      </c>
      <c r="H20" s="26">
        <f>-H3+G3</f>
        <v>0</v>
      </c>
      <c r="I20" s="26">
        <f>-I3+H3</f>
        <v>0</v>
      </c>
      <c r="J20" s="9">
        <f>-J3+I3</f>
        <v>2000</v>
      </c>
    </row>
    <row r="21" spans="2:10" ht="12.75" customHeight="1">
      <c r="B21" s="2">
        <v>18</v>
      </c>
      <c r="C21" s="26"/>
      <c r="D21" s="27" t="s">
        <v>25</v>
      </c>
      <c r="E21" s="26"/>
      <c r="F21" s="26">
        <f>F4-E4</f>
        <v>0</v>
      </c>
      <c r="G21" s="26">
        <f>G4-F4</f>
        <v>0</v>
      </c>
      <c r="H21" s="26">
        <f>H4-G4</f>
        <v>0</v>
      </c>
      <c r="I21" s="26">
        <f>I4-H4</f>
        <v>0</v>
      </c>
      <c r="J21" s="9">
        <f>J4-I4</f>
        <v>0</v>
      </c>
    </row>
    <row r="22" spans="2:10" ht="12.75" customHeight="1" thickBot="1">
      <c r="B22" s="4">
        <v>19</v>
      </c>
      <c r="C22" s="15"/>
      <c r="D22" s="14" t="s">
        <v>41</v>
      </c>
      <c r="E22" s="15"/>
      <c r="F22" s="20">
        <f>F18+F20+F17+F19-F21</f>
        <v>1623.889336607352</v>
      </c>
      <c r="G22" s="20">
        <f>G18+G20+G17+G19-G21</f>
        <v>1595.4807132139485</v>
      </c>
      <c r="H22" s="20">
        <f>H18+H20+H17+H19-H21</f>
        <v>1564.412808519231</v>
      </c>
      <c r="I22" s="20">
        <f>I18+I20+I17+I19-I21</f>
        <v>1530.431467741229</v>
      </c>
      <c r="J22" s="48">
        <f>J18+J20+J17+J19-J21</f>
        <v>2493.258297692255</v>
      </c>
    </row>
    <row r="23" spans="2:10" ht="12.75" customHeight="1" thickBot="1">
      <c r="B23" s="53">
        <v>20</v>
      </c>
      <c r="C23" s="54"/>
      <c r="D23" s="55" t="s">
        <v>28</v>
      </c>
      <c r="E23" s="54"/>
      <c r="F23" s="56">
        <f>F22-F19+F15*0.66</f>
        <v>2837.9755999999998</v>
      </c>
      <c r="G23" s="56">
        <f>G22-G19+G15*0.66</f>
        <v>2837.9755999999998</v>
      </c>
      <c r="H23" s="56">
        <f>H22-H19+H15*0.66</f>
        <v>2837.9756</v>
      </c>
      <c r="I23" s="56">
        <f>I22-I19+I15*0.66</f>
        <v>2837.9755999999998</v>
      </c>
      <c r="J23" s="57">
        <f>J22-J19+J15*0.66</f>
        <v>4837.9756</v>
      </c>
    </row>
    <row r="24" spans="2:10" ht="12.75" customHeight="1">
      <c r="B24" s="1">
        <v>21</v>
      </c>
      <c r="C24" s="22"/>
      <c r="D24" s="49" t="s">
        <v>22</v>
      </c>
      <c r="E24" s="22"/>
      <c r="F24" s="50">
        <f>F17/E8</f>
        <v>0.08829885788076908</v>
      </c>
      <c r="G24" s="50">
        <f>G17/F8</f>
        <v>0.11958043004092789</v>
      </c>
      <c r="H24" s="50">
        <f>H17/G8</f>
        <v>0.16819630072673072</v>
      </c>
      <c r="I24" s="50">
        <f>I17/H8</f>
        <v>0.25002066176230986</v>
      </c>
      <c r="J24" s="51">
        <f>J17/I8</f>
        <v>0.406336281100206</v>
      </c>
    </row>
    <row r="25" spans="2:10" ht="12.75" customHeight="1">
      <c r="B25" s="2">
        <v>22</v>
      </c>
      <c r="C25" s="32"/>
      <c r="D25" s="33" t="s">
        <v>21</v>
      </c>
      <c r="E25" s="32"/>
      <c r="F25" s="34">
        <f>(F17+F15*0.66)/E9</f>
        <v>0.0698313</v>
      </c>
      <c r="G25" s="34">
        <f>(G17+G15*0.66)/F9</f>
        <v>0.08379755999999998</v>
      </c>
      <c r="H25" s="34">
        <f>(H17+H15*0.66)/G9</f>
        <v>0.10474694999999999</v>
      </c>
      <c r="I25" s="34">
        <f>(I17+I15*0.66)/H9</f>
        <v>0.13966259999999997</v>
      </c>
      <c r="J25" s="35">
        <f>(J17+J15*0.66)/I9</f>
        <v>0.20949389999999996</v>
      </c>
    </row>
    <row r="26" spans="2:10" ht="12.75" customHeight="1" thickBot="1">
      <c r="B26" s="4">
        <v>23</v>
      </c>
      <c r="C26" s="5"/>
      <c r="D26" s="6" t="s">
        <v>16</v>
      </c>
      <c r="E26" s="5"/>
      <c r="F26" s="17">
        <f>(F17+F15*0.66)/$E9</f>
        <v>0.0698313</v>
      </c>
      <c r="G26" s="17">
        <f>(G17+G15*0.66)/$E9</f>
        <v>0.06983129999999999</v>
      </c>
      <c r="H26" s="17">
        <f>(H17+H15*0.66)/$E9</f>
        <v>0.0698313</v>
      </c>
      <c r="I26" s="17">
        <f>(I17+I15*0.66)/$E9</f>
        <v>0.06983129999999999</v>
      </c>
      <c r="J26" s="36">
        <f>(J17+J15*0.66)/$E9</f>
        <v>0.06983129999999999</v>
      </c>
    </row>
    <row r="27" spans="2:10" ht="12.75" customHeight="1">
      <c r="B27" s="1">
        <v>27</v>
      </c>
      <c r="C27" s="22"/>
      <c r="D27" s="49" t="s">
        <v>26</v>
      </c>
      <c r="E27" s="97">
        <f>E47</f>
        <v>0.11844456814128282</v>
      </c>
      <c r="F27" s="97">
        <f>F47</f>
        <v>0.11867664496404007</v>
      </c>
      <c r="G27" s="97">
        <f>G47</f>
        <v>0.11892166476293725</v>
      </c>
      <c r="H27" s="97">
        <f>H47</f>
        <v>0.11918691567706301</v>
      </c>
      <c r="I27" s="97">
        <f>I47</f>
        <v>0.1194962962967138</v>
      </c>
      <c r="J27" s="98"/>
    </row>
    <row r="28" spans="2:10" ht="12.75" customHeight="1" thickBot="1">
      <c r="B28" s="4">
        <v>28</v>
      </c>
      <c r="C28" s="8"/>
      <c r="D28" s="6" t="s">
        <v>17</v>
      </c>
      <c r="E28" s="18">
        <f>SUM(F52:$J52)</f>
        <v>6242.756031271985</v>
      </c>
      <c r="F28" s="18">
        <f>SUM(G52:$J52)/F51</f>
        <v>5358.28674852091</v>
      </c>
      <c r="G28" s="18">
        <f>SUM(H52:$J52)/G51</f>
        <v>4398.709523079403</v>
      </c>
      <c r="H28" s="18">
        <f>SUM(I52:$J52)/H51</f>
        <v>3357.3985840357564</v>
      </c>
      <c r="I28" s="18">
        <f>SUM(J52:$J52)/I51</f>
        <v>2227.125097160404</v>
      </c>
      <c r="J28" s="7"/>
    </row>
    <row r="29" spans="2:10" ht="12.75" customHeight="1">
      <c r="B29" s="1">
        <v>29</v>
      </c>
      <c r="C29" s="61"/>
      <c r="D29" s="49" t="s">
        <v>27</v>
      </c>
      <c r="E29" s="71">
        <f>E28/(E28+E7)*E27+E7/(E28+E7)*E42*0.66</f>
        <v>0.08562228514954852</v>
      </c>
      <c r="F29" s="71">
        <f>F28/(F28+F7)*F27+F7/(F28+F7)*F42*0.66</f>
        <v>0.08573832215706105</v>
      </c>
      <c r="G29" s="71">
        <f>G28/(G28+G7)*G27+G7/(G28+G7)*G42*0.66</f>
        <v>0.08586083241797399</v>
      </c>
      <c r="H29" s="71">
        <f>H28/(H28+H7)*H27+H7/(H28+H7)*H42*0.66</f>
        <v>0.0859934578377674</v>
      </c>
      <c r="I29" s="71">
        <f>I28/(I28+I7)*I27+I7/(I28+I7)*I42*0.66</f>
        <v>0.08614814814823407</v>
      </c>
      <c r="J29" s="99"/>
    </row>
    <row r="30" spans="2:10" ht="12.75" customHeight="1" thickBot="1">
      <c r="B30" s="4">
        <v>31</v>
      </c>
      <c r="C30" s="8"/>
      <c r="D30" s="6" t="s">
        <v>29</v>
      </c>
      <c r="E30" s="18">
        <f>SUM(F56:$J56)-E7</f>
        <v>6242.755568062845</v>
      </c>
      <c r="F30" s="18">
        <f>SUM(G56:$J56)/F55-F7</f>
        <v>5358.286751534496</v>
      </c>
      <c r="G30" s="18">
        <f>SUM(H56:$J56)/G55-G7</f>
        <v>4398.709531735282</v>
      </c>
      <c r="H30" s="18">
        <f>SUM(I56:$J56)/H55-H7</f>
        <v>3357.3985830565166</v>
      </c>
      <c r="I30" s="18">
        <f>SUM(J56:$J56)/I55-I7</f>
        <v>2227.1250971906256</v>
      </c>
      <c r="J30" s="62"/>
    </row>
    <row r="31" spans="2:10" ht="12.75" customHeight="1" thickBot="1">
      <c r="B31" s="2">
        <v>32</v>
      </c>
      <c r="C31" s="37"/>
      <c r="D31" s="58" t="s">
        <v>18</v>
      </c>
      <c r="E31" s="59">
        <f>E28-E8</f>
        <v>485.5116521305081</v>
      </c>
      <c r="F31" s="59">
        <f>F28-F8</f>
        <v>716.573602768115</v>
      </c>
      <c r="G31" s="59">
        <f>G28-G8</f>
        <v>797.4190364448095</v>
      </c>
      <c r="H31" s="59">
        <f>H28-H8</f>
        <v>714.7971682260873</v>
      </c>
      <c r="I31" s="59">
        <f>I28-I8</f>
        <v>454.25019433721354</v>
      </c>
      <c r="J31" s="60"/>
    </row>
    <row r="32" spans="2:10" ht="12.75" customHeight="1" thickBot="1" thickTop="1">
      <c r="B32" s="2"/>
      <c r="C32" s="37"/>
      <c r="D32" s="37"/>
      <c r="E32" s="37"/>
      <c r="F32" s="37"/>
      <c r="G32" s="37"/>
      <c r="H32" s="37"/>
      <c r="I32" s="37"/>
      <c r="J32" s="3"/>
    </row>
    <row r="33" spans="2:10" ht="12.75" customHeight="1">
      <c r="B33" s="2">
        <v>33</v>
      </c>
      <c r="C33" s="37"/>
      <c r="D33" s="21" t="s">
        <v>37</v>
      </c>
      <c r="E33" s="22"/>
      <c r="F33" s="23">
        <f>F17-E8*E27</f>
        <v>-173.5562209525703</v>
      </c>
      <c r="G33" s="23">
        <f>G17-F8*F27</f>
        <v>4.195111072325403</v>
      </c>
      <c r="H33" s="23">
        <f>H17-G8*G27</f>
        <v>177.45227772879218</v>
      </c>
      <c r="I33" s="23">
        <f>I17-H8*H27</f>
        <v>345.741442640556</v>
      </c>
      <c r="J33" s="24">
        <f>J17-I8*I27</f>
        <v>508.53141018429665</v>
      </c>
    </row>
    <row r="34" spans="2:10" ht="12.75" customHeight="1" thickBot="1">
      <c r="B34" s="4">
        <v>34</v>
      </c>
      <c r="C34" s="8"/>
      <c r="D34" s="25" t="s">
        <v>39</v>
      </c>
      <c r="E34" s="19">
        <f>SUM(F53:$J53)</f>
        <v>485.51117922069744</v>
      </c>
      <c r="F34" s="19">
        <f>SUM(G53:$J53)/F51</f>
        <v>716.5736087211434</v>
      </c>
      <c r="G34" s="19">
        <f>SUM(H53:$J53)/G51</f>
        <v>797.4190448097087</v>
      </c>
      <c r="H34" s="19">
        <f>SUM(I53:$J53)/H51</f>
        <v>714.7971672520357</v>
      </c>
      <c r="I34" s="19">
        <f>SUM(J53:$J53)/I51</f>
        <v>454.2501943679397</v>
      </c>
      <c r="J34" s="7"/>
    </row>
    <row r="35" spans="2:10" ht="12.75">
      <c r="B35" s="82">
        <v>35</v>
      </c>
      <c r="C35" s="64"/>
      <c r="D35" s="21" t="s">
        <v>38</v>
      </c>
      <c r="E35" s="64"/>
      <c r="F35" s="83">
        <f>F17+F15*0.66-E9*E29</f>
        <v>-189.49182179458217</v>
      </c>
      <c r="G35" s="83">
        <f>G17+G15*0.66-F9*F29</f>
        <v>-19.407621570610786</v>
      </c>
      <c r="H35" s="83">
        <f>H17+H15*0.66-G9*G29</f>
        <v>151.08894065620814</v>
      </c>
      <c r="I35" s="83">
        <f>I17+I15*0.66-H9*H29</f>
        <v>322.0148529733955</v>
      </c>
      <c r="J35" s="100">
        <f>J17+J15*0.66-I9*I29</f>
        <v>493.3830074070636</v>
      </c>
    </row>
    <row r="36" spans="2:10" ht="13.5" thickBot="1">
      <c r="B36" s="84">
        <v>36</v>
      </c>
      <c r="C36" s="68"/>
      <c r="D36" s="25" t="s">
        <v>19</v>
      </c>
      <c r="E36" s="19">
        <f>SUM(F57:$J57)</f>
        <v>485.51118892136776</v>
      </c>
      <c r="F36" s="19">
        <f>SUM(G57:$J57)/F55</f>
        <v>716.5736057817002</v>
      </c>
      <c r="G36" s="19">
        <f>SUM(H57:$J57)/G55</f>
        <v>797.4190451006892</v>
      </c>
      <c r="H36" s="19">
        <f>SUM(I57:$J57)/H55</f>
        <v>714.7971672468473</v>
      </c>
      <c r="I36" s="19">
        <f>SUM(J57:$J57)/I55</f>
        <v>454.25019436743594</v>
      </c>
      <c r="J36" s="69"/>
    </row>
    <row r="37" spans="2:10" ht="13.5" thickBot="1">
      <c r="B37" s="85">
        <v>37</v>
      </c>
      <c r="C37" s="86"/>
      <c r="D37" s="87" t="s">
        <v>47</v>
      </c>
      <c r="E37" s="88"/>
      <c r="F37" s="88">
        <f>F33-F35</f>
        <v>15.935600842011866</v>
      </c>
      <c r="G37" s="88">
        <f>G33-G35</f>
        <v>23.60273264293619</v>
      </c>
      <c r="H37" s="88">
        <f>H33-H35</f>
        <v>26.363337072584045</v>
      </c>
      <c r="I37" s="88">
        <f>I33-I35</f>
        <v>23.72658966716051</v>
      </c>
      <c r="J37" s="89">
        <f>J33-J35</f>
        <v>15.14840277723306</v>
      </c>
    </row>
    <row r="38" spans="2:10" s="39" customFormat="1" ht="12.75">
      <c r="B38" s="107"/>
      <c r="C38" s="64"/>
      <c r="D38" s="49"/>
      <c r="E38" s="108"/>
      <c r="F38" s="108"/>
      <c r="G38" s="108"/>
      <c r="H38" s="108"/>
      <c r="I38" s="108"/>
      <c r="J38" s="109"/>
    </row>
    <row r="39" spans="2:10" s="39" customFormat="1" ht="13.5" thickBot="1">
      <c r="B39" s="110"/>
      <c r="D39" s="33"/>
      <c r="E39" s="72"/>
      <c r="F39" s="72"/>
      <c r="G39" s="72"/>
      <c r="H39" s="72"/>
      <c r="I39" s="72"/>
      <c r="J39" s="74"/>
    </row>
    <row r="40" spans="2:10" ht="12.75">
      <c r="B40" s="63"/>
      <c r="C40" s="64"/>
      <c r="D40" s="64" t="s">
        <v>30</v>
      </c>
      <c r="E40" s="65">
        <v>0.1</v>
      </c>
      <c r="F40" s="65">
        <f>E40</f>
        <v>0.1</v>
      </c>
      <c r="G40" s="65">
        <f>F40</f>
        <v>0.1</v>
      </c>
      <c r="H40" s="65">
        <f>G40</f>
        <v>0.1</v>
      </c>
      <c r="I40" s="65">
        <f>H40</f>
        <v>0.1</v>
      </c>
      <c r="J40" s="66"/>
    </row>
    <row r="41" spans="2:10" ht="13.5" thickBot="1">
      <c r="B41" s="67"/>
      <c r="C41" s="68"/>
      <c r="D41" s="6" t="s">
        <v>31</v>
      </c>
      <c r="E41" s="18">
        <f>NPV(E40,F23:$J23)</f>
        <v>12000.00300250231</v>
      </c>
      <c r="F41" s="18">
        <f>NPV(F40,G23:$J23)</f>
        <v>10362.027702752543</v>
      </c>
      <c r="G41" s="18">
        <f>NPV(G40,H23:$J23)</f>
        <v>8560.254873027796</v>
      </c>
      <c r="H41" s="18">
        <f>NPV(H40,I23:$J23)</f>
        <v>6578.304760330577</v>
      </c>
      <c r="I41" s="18">
        <f>NPV(I40,J23:$J23)</f>
        <v>4398.159636363635</v>
      </c>
      <c r="J41" s="69"/>
    </row>
    <row r="42" spans="2:10" ht="12.75">
      <c r="B42" s="63"/>
      <c r="C42" s="64"/>
      <c r="D42" s="49" t="s">
        <v>32</v>
      </c>
      <c r="E42" s="70">
        <v>0.08</v>
      </c>
      <c r="F42" s="70">
        <v>0.08</v>
      </c>
      <c r="G42" s="70">
        <v>0.08</v>
      </c>
      <c r="H42" s="70">
        <v>0.08</v>
      </c>
      <c r="I42" s="70">
        <v>0.08</v>
      </c>
      <c r="J42" s="66"/>
    </row>
    <row r="43" spans="2:10" ht="12.75">
      <c r="B43" s="38"/>
      <c r="C43" s="39"/>
      <c r="D43" s="33" t="s">
        <v>33</v>
      </c>
      <c r="E43" s="52"/>
      <c r="F43" s="72">
        <f>F15*0.34</f>
        <v>169.80295288735184</v>
      </c>
      <c r="G43" s="72">
        <f>G15*0.34</f>
        <v>145.745402435524</v>
      </c>
      <c r="H43" s="72">
        <f>H15*0.34</f>
        <v>119.64489876353906</v>
      </c>
      <c r="I43" s="72">
        <f>I15*0.34</f>
        <v>91.32124148997701</v>
      </c>
      <c r="J43" s="74">
        <f>J15*0.34</f>
        <v>60.57780264320922</v>
      </c>
    </row>
    <row r="44" spans="2:10" ht="12.75">
      <c r="B44" s="38"/>
      <c r="C44" s="39"/>
      <c r="D44" s="33" t="s">
        <v>34</v>
      </c>
      <c r="E44" s="72">
        <f>NPV(E42,F43:$J43)</f>
        <v>485.5081991595122</v>
      </c>
      <c r="F44" s="72">
        <f>NPV(F42,G43:$J43)</f>
        <v>354.5459022049213</v>
      </c>
      <c r="G44" s="72">
        <f>NPV(G42,H43:$J43)</f>
        <v>237.16417194579105</v>
      </c>
      <c r="H44" s="72">
        <f>NPV(H42,I43:$J43)</f>
        <v>136.49240693791526</v>
      </c>
      <c r="I44" s="72">
        <f>NPV(I42,J43:$J43)</f>
        <v>56.09055800297149</v>
      </c>
      <c r="J44" s="75"/>
    </row>
    <row r="45" spans="2:10" ht="12.75">
      <c r="B45" s="38"/>
      <c r="C45" s="39"/>
      <c r="D45" s="33" t="s">
        <v>35</v>
      </c>
      <c r="E45" s="52">
        <f>E41+E44</f>
        <v>12485.511201661822</v>
      </c>
      <c r="F45" s="52">
        <f>F41+F44</f>
        <v>10716.573604957464</v>
      </c>
      <c r="G45" s="52">
        <f>G41+G44</f>
        <v>8797.419044973587</v>
      </c>
      <c r="H45" s="52">
        <f>H41+H44</f>
        <v>6714.797167268492</v>
      </c>
      <c r="I45" s="52">
        <f>I41+I44</f>
        <v>4454.250194366607</v>
      </c>
      <c r="J45" s="75"/>
    </row>
    <row r="46" spans="2:10" ht="12.75">
      <c r="B46" s="38"/>
      <c r="C46" s="39"/>
      <c r="D46" s="33" t="s">
        <v>36</v>
      </c>
      <c r="E46" s="52">
        <f>E45-E7</f>
        <v>6242.755580803299</v>
      </c>
      <c r="F46" s="52">
        <f>F45-F7</f>
        <v>5358.286750710259</v>
      </c>
      <c r="G46" s="52">
        <f>G45-G7</f>
        <v>4398.70953160818</v>
      </c>
      <c r="H46" s="52">
        <f>H45-H7</f>
        <v>3357.3985830781608</v>
      </c>
      <c r="I46" s="52">
        <f>I45-I7</f>
        <v>2227.125097189797</v>
      </c>
      <c r="J46" s="75"/>
    </row>
    <row r="47" spans="2:10" ht="13.5" thickBot="1">
      <c r="B47" s="67"/>
      <c r="C47" s="68"/>
      <c r="D47" s="6" t="s">
        <v>26</v>
      </c>
      <c r="E47" s="76">
        <f>E40+(E7-E44)*(E40-E42)/E46</f>
        <v>0.11844457098209246</v>
      </c>
      <c r="F47" s="76">
        <f>F40+(F7-F44)*(F40-F42)/F46</f>
        <v>0.11867664492341334</v>
      </c>
      <c r="G47" s="76">
        <f>G40+(G7-G44)*(G40-G42)/G46</f>
        <v>0.11892166469059004</v>
      </c>
      <c r="H47" s="76">
        <f>H40+(H7-H44)*(H40-H42)/H46</f>
        <v>0.11918691568815398</v>
      </c>
      <c r="I47" s="76">
        <f>I40+(I7-I44)*(I40-I42)/I46</f>
        <v>0.11949629629618261</v>
      </c>
      <c r="J47" s="69"/>
    </row>
    <row r="48" spans="2:10" s="92" customFormat="1" ht="12.75">
      <c r="B48" s="90"/>
      <c r="C48" s="90"/>
      <c r="D48" s="78" t="s">
        <v>48</v>
      </c>
      <c r="E48" s="34">
        <f>E42*0.66*E7/E9+E8/E9*E27</f>
        <v>0.08429431841271418</v>
      </c>
      <c r="F48" s="34">
        <f>F42*0.66*F7/F9+F8/F9*F27</f>
        <v>0.08337804889276745</v>
      </c>
      <c r="G48" s="34">
        <f>G42*0.66*G7/G9+G8/G9*G27</f>
        <v>0.08256541528390098</v>
      </c>
      <c r="H48" s="34">
        <f>H42*0.66*H7/H9+H8/H9*H27</f>
        <v>0.08203902622657397</v>
      </c>
      <c r="I48" s="34">
        <f>I42*0.66*I7/I9+I8/I9*I27</f>
        <v>0.0823610474539258</v>
      </c>
      <c r="J48" s="91"/>
    </row>
    <row r="49" spans="2:10" ht="12.75">
      <c r="B49" s="39"/>
      <c r="C49" s="94" t="s">
        <v>50</v>
      </c>
      <c r="D49" s="95" t="s">
        <v>49</v>
      </c>
      <c r="E49" s="94"/>
      <c r="F49" s="96">
        <f>E9*(E29-E48)</f>
        <v>15.935600842012121</v>
      </c>
      <c r="G49" s="96">
        <f>F9*(F29-F48)</f>
        <v>23.60273264293597</v>
      </c>
      <c r="H49" s="96">
        <f>G9*(G29-G48)</f>
        <v>26.36333707258409</v>
      </c>
      <c r="I49" s="96">
        <f>H9*(H29-H48)</f>
        <v>23.726589667160624</v>
      </c>
      <c r="J49" s="96">
        <f>I9*(I29-I48)</f>
        <v>15.148402777233061</v>
      </c>
    </row>
    <row r="50" spans="2:10" ht="12.75">
      <c r="B50" s="39"/>
      <c r="C50" s="39"/>
      <c r="D50" s="33"/>
      <c r="F50" s="93"/>
      <c r="G50" s="93"/>
      <c r="H50" s="93"/>
      <c r="I50" s="93"/>
      <c r="J50" s="93"/>
    </row>
    <row r="51" spans="2:10" ht="12.75">
      <c r="B51" s="39"/>
      <c r="C51" s="39"/>
      <c r="D51" s="78" t="s">
        <v>40</v>
      </c>
      <c r="E51" s="73"/>
      <c r="F51" s="77">
        <f>1/(1+E27)</f>
        <v>0.8940988480652884</v>
      </c>
      <c r="G51" s="77">
        <f>F51/(1+F27)</f>
        <v>0.7992469066823409</v>
      </c>
      <c r="H51" s="77">
        <f>G51/(1+G27)</f>
        <v>0.7143010380907006</v>
      </c>
      <c r="I51" s="77">
        <f>H51/(1+H27)</f>
        <v>0.6382321201982397</v>
      </c>
      <c r="J51" s="77">
        <f>I51/(1+I27)</f>
        <v>0.5701065044248089</v>
      </c>
    </row>
    <row r="52" spans="2:10" ht="12.75">
      <c r="B52" s="39"/>
      <c r="C52" s="39"/>
      <c r="D52" s="33" t="s">
        <v>42</v>
      </c>
      <c r="E52" s="73"/>
      <c r="F52" s="79">
        <f>F22*F51</f>
        <v>1451.917585246139</v>
      </c>
      <c r="G52" s="79">
        <f>G22*G51</f>
        <v>1275.1830247075834</v>
      </c>
      <c r="H52" s="79">
        <f>H22*H51</f>
        <v>1117.461693127675</v>
      </c>
      <c r="I52" s="79">
        <f>I22*I51</f>
        <v>976.7705204745885</v>
      </c>
      <c r="J52" s="79">
        <f>J22*J51</f>
        <v>1421.422772725481</v>
      </c>
    </row>
    <row r="53" spans="2:10" ht="12.75">
      <c r="B53" s="39"/>
      <c r="C53" s="39"/>
      <c r="D53" s="33" t="s">
        <v>43</v>
      </c>
      <c r="E53" s="73"/>
      <c r="F53" s="80">
        <f>F33*F51</f>
        <v>-155.17641722825778</v>
      </c>
      <c r="G53" s="80">
        <f>G33*G51</f>
        <v>3.3529295477449166</v>
      </c>
      <c r="H53" s="80">
        <f>H33*H51</f>
        <v>126.75434619323556</v>
      </c>
      <c r="I53" s="80">
        <f>I33*I51</f>
        <v>220.66329397688014</v>
      </c>
      <c r="J53" s="80">
        <f>J33*J51</f>
        <v>289.91706465038806</v>
      </c>
    </row>
    <row r="54" spans="2:10" ht="12.75">
      <c r="B54" s="39"/>
      <c r="C54" s="39"/>
      <c r="D54" s="33"/>
      <c r="E54" s="73"/>
      <c r="F54" s="73"/>
      <c r="G54" s="73"/>
      <c r="H54" s="73"/>
      <c r="I54" s="73"/>
      <c r="J54" s="39"/>
    </row>
    <row r="55" spans="2:10" ht="12.75">
      <c r="B55" s="39"/>
      <c r="C55" s="39"/>
      <c r="D55" s="81" t="s">
        <v>44</v>
      </c>
      <c r="E55" s="73"/>
      <c r="F55" s="77">
        <f>1/(1+E29)</f>
        <v>0.9211306857635538</v>
      </c>
      <c r="G55" s="77">
        <f>F55/(1+F29)</f>
        <v>0.8483910597661529</v>
      </c>
      <c r="H55" s="77">
        <f>G55/(1+G29)</f>
        <v>0.781307359504783</v>
      </c>
      <c r="I55" s="77">
        <f>H55/(1+H29)</f>
        <v>0.7194402082866872</v>
      </c>
      <c r="J55" s="77">
        <f>I55/(1+I29)</f>
        <v>0.6623776043012691</v>
      </c>
    </row>
    <row r="56" spans="2:10" ht="12.75">
      <c r="B56" s="39"/>
      <c r="C56" s="39"/>
      <c r="D56" s="33" t="s">
        <v>45</v>
      </c>
      <c r="E56" s="73"/>
      <c r="F56" s="77">
        <f>F23*F55</f>
        <v>2614.146410608233</v>
      </c>
      <c r="G56" s="77">
        <f>G23*G55</f>
        <v>2407.7131268744834</v>
      </c>
      <c r="H56" s="77">
        <f>H23*H55</f>
        <v>2217.3312223750027</v>
      </c>
      <c r="I56" s="77">
        <f>I23*I55</f>
        <v>2041.753756776536</v>
      </c>
      <c r="J56" s="77">
        <f>J23*J55</f>
        <v>3204.566687595995</v>
      </c>
    </row>
    <row r="57" spans="2:10" ht="12.75">
      <c r="B57" s="39"/>
      <c r="C57" s="39"/>
      <c r="D57" s="33" t="s">
        <v>46</v>
      </c>
      <c r="E57" s="73"/>
      <c r="F57" s="77">
        <f>F55*F35</f>
        <v>-174.5467317562286</v>
      </c>
      <c r="G57" s="77">
        <f>G55*G35</f>
        <v>-16.465252631830936</v>
      </c>
      <c r="H57" s="77">
        <f>H55*H35</f>
        <v>118.04690127447684</v>
      </c>
      <c r="I57" s="77">
        <f>I55*I35</f>
        <v>231.6704328945866</v>
      </c>
      <c r="J57" s="77">
        <f>J55*J35</f>
        <v>326.8058544492461</v>
      </c>
    </row>
  </sheetData>
  <mergeCells count="2">
    <mergeCell ref="C2:D2"/>
    <mergeCell ref="C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2004-03-01T12:44:09Z</dcterms:created>
  <dcterms:modified xsi:type="dcterms:W3CDTF">2004-03-06T10:19:28Z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-223327551</vt:i4>
  </property>
  <property fmtid="{D5CDD505-2E9C-101B-9397-08002B2CF9AE}" pid="4" name="_EmailSubje">
    <vt:lpwstr> Cambiar estas tablas cap 18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