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18.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<sst xmlns="http://schemas.openxmlformats.org/spreadsheetml/2006/main" count="52" uniqueCount="51">
  <si>
    <t>Balance (millones)</t>
  </si>
  <si>
    <t>NOF</t>
  </si>
  <si>
    <t>Activo fijo bruto</t>
  </si>
  <si>
    <t xml:space="preserve"> - amort. acumulada</t>
  </si>
  <si>
    <t>TOTAL ACTIVO NETO</t>
  </si>
  <si>
    <t>Deuda</t>
  </si>
  <si>
    <t>Capital (valor contable)</t>
  </si>
  <si>
    <t>TOTAL PASIVO</t>
  </si>
  <si>
    <t>Cuenta de resultados (millones)</t>
  </si>
  <si>
    <t>Ventas</t>
  </si>
  <si>
    <t>Coste de ventas</t>
  </si>
  <si>
    <t>Gastos generales</t>
  </si>
  <si>
    <t>Amortización</t>
  </si>
  <si>
    <t>Impuestos</t>
  </si>
  <si>
    <t xml:space="preserve"> + Amortización</t>
  </si>
  <si>
    <t xml:space="preserve"> - ∆ NOF</t>
  </si>
  <si>
    <t>ROGI</t>
  </si>
  <si>
    <t>E = VA(Ke;CFac)</t>
  </si>
  <si>
    <t>E - Evc</t>
  </si>
  <si>
    <t>MVA = VA(EVA; WACC)</t>
  </si>
  <si>
    <t>Intereses</t>
  </si>
  <si>
    <t>ROA</t>
  </si>
  <si>
    <t>ROE</t>
  </si>
  <si>
    <t>BFO</t>
  </si>
  <si>
    <t xml:space="preserve"> + ∆ Deuda</t>
  </si>
  <si>
    <t xml:space="preserve"> - Inversiones</t>
  </si>
  <si>
    <t>Ke</t>
  </si>
  <si>
    <t>WACC</t>
  </si>
  <si>
    <t>FCF</t>
  </si>
  <si>
    <t>VA(WACC;FCF) -D = E</t>
  </si>
  <si>
    <t>Ku</t>
  </si>
  <si>
    <t>Vu = VA(Ku;FCF)</t>
  </si>
  <si>
    <t>Kd</t>
  </si>
  <si>
    <t>Intereses x T</t>
  </si>
  <si>
    <t xml:space="preserve">VTS </t>
  </si>
  <si>
    <t>E + D</t>
  </si>
  <si>
    <t>E</t>
  </si>
  <si>
    <t>BE</t>
  </si>
  <si>
    <t>EVA</t>
  </si>
  <si>
    <t>MVA = VA(BE; Ke)</t>
  </si>
  <si>
    <t>factor para actualizar con Ke</t>
  </si>
  <si>
    <t xml:space="preserve">CF acciones = Div. </t>
  </si>
  <si>
    <t>VA (CFac en t = 0)</t>
  </si>
  <si>
    <t>VA (BE en t = 0)</t>
  </si>
  <si>
    <t>factor para actualizar con WACC</t>
  </si>
  <si>
    <t>VA (FCF en t = 0)</t>
  </si>
  <si>
    <t>VA (EVA en t = 0)</t>
  </si>
  <si>
    <t>BE - EVA</t>
  </si>
  <si>
    <t>WACCvc</t>
  </si>
  <si>
    <t>BE-EVA</t>
  </si>
  <si>
    <t>Check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</si>
</sst>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  <numFmt numFmtId="178" formatCode="#,##0.0_);[Red]\(#,##0.0\)"/>
    <numFmt numFmtId="179" formatCode="#,##0.000"/>
    <numFmt numFmtId="180" formatCode="0.000"/>
    <numFmt numFmtId="181" formatCode="0.0"/>
  </numFmts>
  <fonts count="9">
    <font>
      <sz val="10"/>
      <name val="Arial"/>
      <family val="0"/>
    </font>
    <font>
      <sz val="9"/>
      <color indexed="8"/>
      <name val="Times"/>
      <family val="1"/>
    </font>
    <font>
      <b/>
      <i/>
      <sz val="9"/>
      <color indexed="8"/>
      <name val="Times"/>
      <family val="1"/>
    </font>
    <font>
      <b/>
      <sz val="9"/>
      <color indexed="8"/>
      <name val="Times"/>
      <family val="1"/>
    </font>
    <font>
      <sz val="10"/>
      <name val="Times"/>
      <family val="1"/>
    </font>
    <font>
      <sz val="8"/>
      <color indexed="8"/>
      <name val="Times"/>
      <family val="1"/>
    </font>
    <font>
      <sz val="10"/>
      <color indexed="8"/>
      <name val="Times"/>
      <family val="1"/>
    </font>
    <font>
      <b/>
      <i/>
      <sz val="10"/>
      <color indexed="8"/>
      <name val="Times"/>
      <family val="1"/>
    </font>
    <font>
      <b/>
      <u val="single"/>
      <sz val="10"/>
      <color indexed="8"/>
      <name val="Times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right" vertical="top" wrapText="1"/>
    </xf>
    <xf numFmtId="10" fontId="1" fillId="0" borderId="5" xfId="19" applyNumberFormat="1" applyFont="1" applyBorder="1" applyAlignment="1">
      <alignment horizontal="right" vertical="top" wrapText="1"/>
    </xf>
    <xf numFmtId="38" fontId="3" fillId="0" borderId="5" xfId="0" applyNumberFormat="1" applyFont="1" applyBorder="1" applyAlignment="1">
      <alignment horizontal="right" vertical="top" wrapText="1"/>
    </xf>
    <xf numFmtId="178" fontId="3" fillId="0" borderId="5" xfId="0" applyNumberFormat="1" applyFont="1" applyBorder="1" applyAlignment="1">
      <alignment horizontal="right" vertical="top" wrapText="1"/>
    </xf>
    <xf numFmtId="179" fontId="3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181" fontId="3" fillId="0" borderId="8" xfId="0" applyNumberFormat="1" applyFont="1" applyBorder="1" applyAlignment="1">
      <alignment horizontal="right" vertical="top" wrapText="1"/>
    </xf>
    <xf numFmtId="181" fontId="3" fillId="0" borderId="9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0" fontId="1" fillId="0" borderId="0" xfId="19" applyNumberFormat="1" applyFont="1" applyBorder="1" applyAlignment="1">
      <alignment horizontal="right" vertical="top" wrapText="1"/>
    </xf>
    <xf numFmtId="10" fontId="1" fillId="0" borderId="3" xfId="19" applyNumberFormat="1" applyFont="1" applyBorder="1" applyAlignment="1">
      <alignment horizontal="right" vertical="top" wrapText="1"/>
    </xf>
    <xf numFmtId="10" fontId="1" fillId="0" borderId="6" xfId="19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77" fontId="1" fillId="0" borderId="0" xfId="0" applyNumberFormat="1" applyFont="1" applyBorder="1" applyAlignment="1">
      <alignment horizontal="right" vertical="top" wrapText="1"/>
    </xf>
    <xf numFmtId="177" fontId="3" fillId="0" borderId="5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177" fontId="1" fillId="0" borderId="3" xfId="0" applyNumberFormat="1" applyFont="1" applyBorder="1" applyAlignment="1">
      <alignment horizontal="right" vertical="top" wrapText="1"/>
    </xf>
    <xf numFmtId="177" fontId="3" fillId="0" borderId="6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179" fontId="3" fillId="0" borderId="6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10" fontId="1" fillId="0" borderId="8" xfId="19" applyNumberFormat="1" applyFont="1" applyBorder="1" applyAlignment="1">
      <alignment horizontal="right" vertical="top" wrapText="1"/>
    </xf>
    <xf numFmtId="10" fontId="1" fillId="0" borderId="9" xfId="19" applyNumberFormat="1" applyFont="1" applyBorder="1" applyAlignment="1">
      <alignment horizontal="right" vertical="top" wrapText="1"/>
    </xf>
    <xf numFmtId="38" fontId="3" fillId="0" borderId="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vertical="top" wrapText="1"/>
    </xf>
    <xf numFmtId="179" fontId="3" fillId="0" borderId="12" xfId="0" applyNumberFormat="1" applyFont="1" applyBorder="1" applyAlignment="1">
      <alignment horizontal="right" vertical="top" wrapText="1"/>
    </xf>
    <xf numFmtId="179" fontId="3" fillId="0" borderId="13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178" fontId="3" fillId="0" borderId="15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6" fontId="3" fillId="0" borderId="8" xfId="19" applyNumberFormat="1" applyFont="1" applyBorder="1" applyAlignment="1">
      <alignment horizontal="right" vertical="top" wrapText="1"/>
    </xf>
    <xf numFmtId="10" fontId="3" fillId="0" borderId="8" xfId="19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vertical="top" wrapText="1"/>
    </xf>
    <xf numFmtId="10" fontId="3" fillId="0" borderId="0" xfId="19" applyNumberFormat="1" applyFont="1" applyBorder="1" applyAlignment="1">
      <alignment horizontal="right" vertical="top" wrapText="1"/>
    </xf>
    <xf numFmtId="10" fontId="3" fillId="0" borderId="0" xfId="0" applyNumberFormat="1" applyFont="1" applyBorder="1" applyAlignment="1">
      <alignment horizontal="right" vertical="top" wrapText="1"/>
    </xf>
    <xf numFmtId="178" fontId="3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/>
    </xf>
    <xf numFmtId="10" fontId="3" fillId="0" borderId="5" xfId="19" applyNumberFormat="1" applyFont="1" applyBorder="1" applyAlignment="1">
      <alignment horizontal="right" vertical="top" wrapText="1"/>
    </xf>
    <xf numFmtId="2" fontId="3" fillId="0" borderId="0" xfId="19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3" fontId="3" fillId="0" borderId="0" xfId="19" applyNumberFormat="1" applyFont="1" applyBorder="1" applyAlignment="1">
      <alignment horizontal="right" vertical="top" wrapText="1"/>
    </xf>
    <xf numFmtId="177" fontId="3" fillId="0" borderId="0" xfId="19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2" fontId="4" fillId="0" borderId="8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top" wrapText="1"/>
    </xf>
    <xf numFmtId="178" fontId="3" fillId="0" borderId="12" xfId="0" applyNumberFormat="1" applyFont="1" applyBorder="1" applyAlignment="1">
      <alignment horizontal="right" vertical="top" wrapText="1"/>
    </xf>
    <xf numFmtId="178" fontId="3" fillId="0" borderId="13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1" fontId="3" fillId="0" borderId="0" xfId="19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3" fillId="0" borderId="17" xfId="0" applyFont="1" applyBorder="1" applyAlignment="1">
      <alignment vertical="top" wrapText="1"/>
    </xf>
    <xf numFmtId="181" fontId="3" fillId="0" borderId="17" xfId="19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178" fontId="3" fillId="0" borderId="8" xfId="0" applyNumberFormat="1" applyFont="1" applyBorder="1" applyAlignment="1">
      <alignment horizontal="right" vertical="top" wrapText="1"/>
    </xf>
    <xf numFmtId="178" fontId="3" fillId="0" borderId="9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right" vertical="top" wrapText="1"/>
    </xf>
    <xf numFmtId="10" fontId="3" fillId="0" borderId="9" xfId="19" applyNumberFormat="1" applyFont="1" applyBorder="1" applyAlignment="1">
      <alignment horizontal="right" vertical="top" wrapText="1"/>
    </xf>
    <xf numFmtId="2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workbookViewId="0" topLeftCell="A1">
      <pane ySplit="3300" topLeftCell="BM24" activePane="bottomLeft" state="split"/>
      <selection pane="topLeft" activeCell="K10" sqref="K10"/>
      <selection pane="bottomLeft" activeCell="L28" sqref="L28"/>
    </sheetView>
  </sheetViews>
  <sheetFormatPr defaultColWidth="9.140625" defaultRowHeight="12.75"/>
  <cols>
    <col min="4" max="4" width="21.421875" style="0" customWidth="1"/>
    <col min="5" max="7" width="8.57421875" style="0" customWidth="1"/>
  </cols>
  <sheetData>
    <row r="1" ht="12.75" customHeight="1" thickBot="1"/>
    <row r="2" spans="2:10" ht="12.75" customHeight="1" thickBot="1">
      <c r="B2" s="99"/>
      <c r="C2" s="100" t="s">
        <v>0</v>
      </c>
      <c r="D2" s="100"/>
      <c r="E2" s="101">
        <v>0</v>
      </c>
      <c r="F2" s="101">
        <v>1</v>
      </c>
      <c r="G2" s="101">
        <v>2</v>
      </c>
      <c r="H2" s="101">
        <v>3</v>
      </c>
      <c r="I2" s="101">
        <v>4</v>
      </c>
      <c r="J2" s="102">
        <v>5</v>
      </c>
    </row>
    <row r="3" spans="2:10" ht="12.75" customHeight="1">
      <c r="B3" s="2">
        <v>1</v>
      </c>
      <c r="C3" s="26"/>
      <c r="D3" s="27" t="s">
        <v>1</v>
      </c>
      <c r="E3" s="26">
        <v>2000</v>
      </c>
      <c r="F3" s="26">
        <v>2000</v>
      </c>
      <c r="G3" s="26">
        <v>2000</v>
      </c>
      <c r="H3" s="26">
        <v>2000</v>
      </c>
      <c r="I3" s="26">
        <v>2000</v>
      </c>
      <c r="J3" s="9">
        <v>0</v>
      </c>
    </row>
    <row r="4" spans="2:10" ht="12.75" customHeight="1">
      <c r="B4" s="2">
        <v>2</v>
      </c>
      <c r="C4" s="26"/>
      <c r="D4" s="27" t="s">
        <v>2</v>
      </c>
      <c r="E4" s="26">
        <v>10000</v>
      </c>
      <c r="F4" s="26">
        <v>10000</v>
      </c>
      <c r="G4" s="26">
        <v>10000</v>
      </c>
      <c r="H4" s="26">
        <v>10000</v>
      </c>
      <c r="I4" s="26">
        <v>10000</v>
      </c>
      <c r="J4" s="9">
        <v>10000</v>
      </c>
    </row>
    <row r="5" spans="2:10" ht="12.75" customHeight="1">
      <c r="B5" s="2">
        <v>3</v>
      </c>
      <c r="C5" s="26"/>
      <c r="D5" s="27" t="s">
        <v>3</v>
      </c>
      <c r="E5" s="26">
        <v>0</v>
      </c>
      <c r="F5" s="26">
        <v>2000</v>
      </c>
      <c r="G5" s="26">
        <v>4000</v>
      </c>
      <c r="H5" s="26">
        <v>6000</v>
      </c>
      <c r="I5" s="26">
        <v>8000</v>
      </c>
      <c r="J5" s="9">
        <v>10000</v>
      </c>
    </row>
    <row r="6" spans="2:10" ht="12.75" customHeight="1" thickBot="1">
      <c r="B6" s="2">
        <v>4</v>
      </c>
      <c r="C6" s="28"/>
      <c r="D6" s="10" t="s">
        <v>4</v>
      </c>
      <c r="E6" s="11">
        <f aca="true" t="shared" si="0" ref="E6:J6">E3+E4-E5</f>
        <v>12000</v>
      </c>
      <c r="F6" s="11">
        <f t="shared" si="0"/>
        <v>10000</v>
      </c>
      <c r="G6" s="11">
        <f t="shared" si="0"/>
        <v>8000</v>
      </c>
      <c r="H6" s="11">
        <f t="shared" si="0"/>
        <v>6000</v>
      </c>
      <c r="I6" s="11">
        <f t="shared" si="0"/>
        <v>4000</v>
      </c>
      <c r="J6" s="29">
        <f t="shared" si="0"/>
        <v>0</v>
      </c>
    </row>
    <row r="7" spans="2:10" ht="12.75" customHeight="1">
      <c r="B7" s="2">
        <v>5</v>
      </c>
      <c r="C7" s="26"/>
      <c r="D7" s="27" t="s">
        <v>5</v>
      </c>
      <c r="E7" s="26">
        <v>4000</v>
      </c>
      <c r="F7" s="26">
        <v>4000</v>
      </c>
      <c r="G7" s="26">
        <v>4000</v>
      </c>
      <c r="H7" s="26">
        <v>4000</v>
      </c>
      <c r="I7" s="26">
        <v>4000</v>
      </c>
      <c r="J7" s="9">
        <v>0</v>
      </c>
    </row>
    <row r="8" spans="2:10" ht="12.75" customHeight="1">
      <c r="B8" s="2">
        <v>6</v>
      </c>
      <c r="C8" s="26"/>
      <c r="D8" s="27" t="s">
        <v>6</v>
      </c>
      <c r="E8" s="26">
        <v>8000</v>
      </c>
      <c r="F8" s="26">
        <v>6000</v>
      </c>
      <c r="G8" s="26">
        <v>4000</v>
      </c>
      <c r="H8" s="26">
        <v>2000</v>
      </c>
      <c r="I8" s="26">
        <v>0</v>
      </c>
      <c r="J8" s="9">
        <v>0</v>
      </c>
    </row>
    <row r="9" spans="2:10" ht="12.75" customHeight="1" thickBot="1">
      <c r="B9" s="2">
        <v>7</v>
      </c>
      <c r="C9" s="28"/>
      <c r="D9" s="10" t="s">
        <v>7</v>
      </c>
      <c r="E9" s="11">
        <f aca="true" t="shared" si="1" ref="E9:J9">E7+E8</f>
        <v>12000</v>
      </c>
      <c r="F9" s="11">
        <f t="shared" si="1"/>
        <v>10000</v>
      </c>
      <c r="G9" s="11">
        <f t="shared" si="1"/>
        <v>8000</v>
      </c>
      <c r="H9" s="11">
        <f t="shared" si="1"/>
        <v>6000</v>
      </c>
      <c r="I9" s="11">
        <f t="shared" si="1"/>
        <v>4000</v>
      </c>
      <c r="J9" s="29">
        <f t="shared" si="1"/>
        <v>0</v>
      </c>
    </row>
    <row r="10" spans="2:10" ht="12.75" customHeight="1">
      <c r="B10" s="2"/>
      <c r="C10" s="98" t="s">
        <v>8</v>
      </c>
      <c r="D10" s="98"/>
      <c r="E10" s="98"/>
      <c r="F10" s="30"/>
      <c r="G10" s="30"/>
      <c r="H10" s="30"/>
      <c r="I10" s="30"/>
      <c r="J10" s="12"/>
    </row>
    <row r="11" spans="2:10" ht="12.75" customHeight="1">
      <c r="B11" s="2">
        <v>8</v>
      </c>
      <c r="C11" s="30"/>
      <c r="D11" s="27" t="s">
        <v>9</v>
      </c>
      <c r="E11" s="26"/>
      <c r="F11" s="31">
        <v>10000</v>
      </c>
      <c r="G11" s="26">
        <f aca="true" t="shared" si="2" ref="G11:J13">F11</f>
        <v>10000</v>
      </c>
      <c r="H11" s="26">
        <f t="shared" si="2"/>
        <v>10000</v>
      </c>
      <c r="I11" s="26">
        <f t="shared" si="2"/>
        <v>10000</v>
      </c>
      <c r="J11" s="9">
        <f t="shared" si="2"/>
        <v>10000</v>
      </c>
    </row>
    <row r="12" spans="2:10" ht="12.75" customHeight="1">
      <c r="B12" s="2">
        <v>9</v>
      </c>
      <c r="C12" s="30"/>
      <c r="D12" s="27" t="s">
        <v>10</v>
      </c>
      <c r="E12" s="26"/>
      <c r="F12" s="31">
        <v>4000</v>
      </c>
      <c r="G12" s="26">
        <f t="shared" si="2"/>
        <v>4000</v>
      </c>
      <c r="H12" s="26">
        <f t="shared" si="2"/>
        <v>4000</v>
      </c>
      <c r="I12" s="26">
        <f t="shared" si="2"/>
        <v>4000</v>
      </c>
      <c r="J12" s="9">
        <f t="shared" si="2"/>
        <v>4000</v>
      </c>
    </row>
    <row r="13" spans="2:10" ht="12.75" customHeight="1">
      <c r="B13" s="2">
        <v>10</v>
      </c>
      <c r="C13" s="30"/>
      <c r="D13" s="27" t="s">
        <v>11</v>
      </c>
      <c r="E13" s="26"/>
      <c r="F13" s="31">
        <v>2730.34</v>
      </c>
      <c r="G13" s="26">
        <f t="shared" si="2"/>
        <v>2730.34</v>
      </c>
      <c r="H13" s="26">
        <f t="shared" si="2"/>
        <v>2730.34</v>
      </c>
      <c r="I13" s="26">
        <f t="shared" si="2"/>
        <v>2730.34</v>
      </c>
      <c r="J13" s="9">
        <f t="shared" si="2"/>
        <v>2730.34</v>
      </c>
    </row>
    <row r="14" spans="2:10" ht="12.75" customHeight="1">
      <c r="B14" s="2">
        <v>11</v>
      </c>
      <c r="C14" s="30"/>
      <c r="D14" s="27" t="s">
        <v>12</v>
      </c>
      <c r="E14" s="26"/>
      <c r="F14" s="31">
        <f>F5-E5</f>
        <v>2000</v>
      </c>
      <c r="G14" s="26">
        <f>G5-F5</f>
        <v>2000</v>
      </c>
      <c r="H14" s="26">
        <f>H5-G5</f>
        <v>2000</v>
      </c>
      <c r="I14" s="26">
        <f>I5-H5</f>
        <v>2000</v>
      </c>
      <c r="J14" s="9">
        <f>J5-I5</f>
        <v>2000</v>
      </c>
    </row>
    <row r="15" spans="2:10" ht="12.75" customHeight="1">
      <c r="B15" s="2">
        <v>12</v>
      </c>
      <c r="C15" s="30"/>
      <c r="D15" s="27" t="s">
        <v>20</v>
      </c>
      <c r="E15" s="26"/>
      <c r="F15" s="31">
        <f>0.08*E7</f>
        <v>320</v>
      </c>
      <c r="G15" s="31">
        <f>0.08*F7</f>
        <v>320</v>
      </c>
      <c r="H15" s="31">
        <f>0.08*G7</f>
        <v>320</v>
      </c>
      <c r="I15" s="31">
        <f>0.08*H7</f>
        <v>320</v>
      </c>
      <c r="J15" s="42">
        <f>0.08*I7</f>
        <v>320</v>
      </c>
    </row>
    <row r="16" spans="2:10" ht="12.75" customHeight="1">
      <c r="B16" s="2">
        <v>13</v>
      </c>
      <c r="C16" s="26"/>
      <c r="D16" s="27" t="s">
        <v>13</v>
      </c>
      <c r="E16" s="26"/>
      <c r="F16" s="31">
        <f>0.34*(F11-F12-F13-F14-F15)</f>
        <v>322.88439999999997</v>
      </c>
      <c r="G16" s="40">
        <f>0.34*(G11-G12-G13-G14-G15)</f>
        <v>322.88439999999997</v>
      </c>
      <c r="H16" s="40">
        <f>0.34*(H11-H12-H13-H14-H15)</f>
        <v>322.88439999999997</v>
      </c>
      <c r="I16" s="40">
        <f>0.34*(I11-I12-I13-I14-I15)</f>
        <v>322.88439999999997</v>
      </c>
      <c r="J16" s="43">
        <f>0.34*(J11-J12-J13-J14-J15)</f>
        <v>322.88439999999997</v>
      </c>
    </row>
    <row r="17" spans="2:10" ht="12.75" customHeight="1" thickBot="1">
      <c r="B17" s="4">
        <v>14</v>
      </c>
      <c r="C17" s="13"/>
      <c r="D17" s="14" t="s">
        <v>23</v>
      </c>
      <c r="E17" s="13"/>
      <c r="F17" s="16">
        <f>F11-F12-F13-F14-F15-F16</f>
        <v>626.7755999999999</v>
      </c>
      <c r="G17" s="41">
        <f>G11-G12-G13-G14-G15-G16</f>
        <v>626.7755999999999</v>
      </c>
      <c r="H17" s="41">
        <f>H11-H12-H13-H14-H15-H16</f>
        <v>626.7755999999999</v>
      </c>
      <c r="I17" s="41">
        <f>I11-I12-I13-I14-I15-I16</f>
        <v>626.7755999999999</v>
      </c>
      <c r="J17" s="44">
        <f>J11-J12-J13-J14-J15-J16</f>
        <v>626.7755999999999</v>
      </c>
    </row>
    <row r="18" spans="2:10" ht="12.75" customHeight="1">
      <c r="B18" s="1">
        <v>15</v>
      </c>
      <c r="C18" s="45"/>
      <c r="D18" s="46" t="s">
        <v>14</v>
      </c>
      <c r="E18" s="45"/>
      <c r="F18" s="45">
        <f>F14</f>
        <v>2000</v>
      </c>
      <c r="G18" s="45">
        <f>G14</f>
        <v>2000</v>
      </c>
      <c r="H18" s="45">
        <f>H14</f>
        <v>2000</v>
      </c>
      <c r="I18" s="45">
        <f>I14</f>
        <v>2000</v>
      </c>
      <c r="J18" s="47">
        <f>J14</f>
        <v>2000</v>
      </c>
    </row>
    <row r="19" spans="2:10" ht="12.75" customHeight="1">
      <c r="B19" s="2">
        <v>16</v>
      </c>
      <c r="C19" s="26"/>
      <c r="D19" s="27" t="s">
        <v>24</v>
      </c>
      <c r="E19" s="26"/>
      <c r="F19" s="26">
        <f>F7-E7</f>
        <v>0</v>
      </c>
      <c r="G19" s="26">
        <f>G7-F7</f>
        <v>0</v>
      </c>
      <c r="H19" s="26">
        <f>H7-G7</f>
        <v>0</v>
      </c>
      <c r="I19" s="26">
        <f>I7-H7</f>
        <v>0</v>
      </c>
      <c r="J19" s="9">
        <f>J7-I7</f>
        <v>-4000</v>
      </c>
    </row>
    <row r="20" spans="2:10" ht="12.75" customHeight="1">
      <c r="B20" s="2">
        <v>17</v>
      </c>
      <c r="C20" s="26"/>
      <c r="D20" s="27" t="s">
        <v>15</v>
      </c>
      <c r="E20" s="26"/>
      <c r="F20" s="26">
        <f>-F3+E3</f>
        <v>0</v>
      </c>
      <c r="G20" s="26">
        <f>-G3+F3</f>
        <v>0</v>
      </c>
      <c r="H20" s="26">
        <f>-H3+G3</f>
        <v>0</v>
      </c>
      <c r="I20" s="26">
        <f>-I3+H3</f>
        <v>0</v>
      </c>
      <c r="J20" s="9">
        <f>-J3+I3</f>
        <v>2000</v>
      </c>
    </row>
    <row r="21" spans="2:10" ht="12.75" customHeight="1">
      <c r="B21" s="2">
        <v>18</v>
      </c>
      <c r="C21" s="26"/>
      <c r="D21" s="27" t="s">
        <v>25</v>
      </c>
      <c r="E21" s="26"/>
      <c r="F21" s="26">
        <f>F4-E4</f>
        <v>0</v>
      </c>
      <c r="G21" s="26">
        <f>G4-F4</f>
        <v>0</v>
      </c>
      <c r="H21" s="26">
        <f>H4-G4</f>
        <v>0</v>
      </c>
      <c r="I21" s="26">
        <f>I4-H4</f>
        <v>0</v>
      </c>
      <c r="J21" s="9">
        <f>J4-I4</f>
        <v>0</v>
      </c>
    </row>
    <row r="22" spans="2:10" ht="12.75" customHeight="1" thickBot="1">
      <c r="B22" s="4">
        <v>19</v>
      </c>
      <c r="C22" s="15"/>
      <c r="D22" s="14" t="s">
        <v>41</v>
      </c>
      <c r="E22" s="15"/>
      <c r="F22" s="20">
        <f>F18+F20+F17+F19-F21</f>
        <v>2626.7756</v>
      </c>
      <c r="G22" s="20">
        <f>G18+G20+G17+G19-G21</f>
        <v>2626.7756</v>
      </c>
      <c r="H22" s="20">
        <f>H18+H20+H17+H19-H21</f>
        <v>2626.7756</v>
      </c>
      <c r="I22" s="20">
        <f>I18+I20+I17+I19-I21</f>
        <v>2626.7756</v>
      </c>
      <c r="J22" s="48">
        <f>J18+J20+J17+J19-J21</f>
        <v>626.7755999999999</v>
      </c>
    </row>
    <row r="23" spans="2:10" ht="12.75" customHeight="1" thickBot="1">
      <c r="B23" s="53">
        <v>20</v>
      </c>
      <c r="C23" s="54"/>
      <c r="D23" s="55" t="s">
        <v>28</v>
      </c>
      <c r="E23" s="54"/>
      <c r="F23" s="56">
        <f>F22-F19+F15*0.66</f>
        <v>2837.9755999999998</v>
      </c>
      <c r="G23" s="56">
        <f>G22-G19+G15*0.66</f>
        <v>2837.9755999999998</v>
      </c>
      <c r="H23" s="56">
        <f>H22-H19+H15*0.66</f>
        <v>2837.9755999999998</v>
      </c>
      <c r="I23" s="56">
        <f>I22-I19+I15*0.66</f>
        <v>2837.9755999999998</v>
      </c>
      <c r="J23" s="57">
        <f>J22-J19+J15*0.66</f>
        <v>4837.9756</v>
      </c>
    </row>
    <row r="24" spans="2:10" ht="12.75" customHeight="1">
      <c r="B24" s="1">
        <v>21</v>
      </c>
      <c r="C24" s="22"/>
      <c r="D24" s="49" t="s">
        <v>22</v>
      </c>
      <c r="E24" s="22"/>
      <c r="F24" s="50">
        <f>F17/E8</f>
        <v>0.07834695</v>
      </c>
      <c r="G24" s="50">
        <f>G17/F8</f>
        <v>0.10446259999999999</v>
      </c>
      <c r="H24" s="50">
        <f>H17/G8</f>
        <v>0.1566939</v>
      </c>
      <c r="I24" s="50">
        <f>I17/H8</f>
        <v>0.3133878</v>
      </c>
      <c r="J24" s="51" t="e">
        <f>J17/I8</f>
        <v>#DIV/0!</v>
      </c>
    </row>
    <row r="25" spans="2:10" ht="12.75" customHeight="1">
      <c r="B25" s="2">
        <v>22</v>
      </c>
      <c r="C25" s="32"/>
      <c r="D25" s="33" t="s">
        <v>21</v>
      </c>
      <c r="E25" s="32"/>
      <c r="F25" s="34">
        <f>(F17+F15*0.66)/E9</f>
        <v>0.0698313</v>
      </c>
      <c r="G25" s="34">
        <f>(G17+G15*0.66)/F9</f>
        <v>0.08379756</v>
      </c>
      <c r="H25" s="34">
        <f>(H17+H15*0.66)/G9</f>
        <v>0.10474694999999999</v>
      </c>
      <c r="I25" s="34">
        <f>(I17+I15*0.66)/H9</f>
        <v>0.1396626</v>
      </c>
      <c r="J25" s="35">
        <f>(J17+J15*0.66)/I9</f>
        <v>0.20949389999999998</v>
      </c>
    </row>
    <row r="26" spans="2:10" ht="12.75" customHeight="1" thickBot="1">
      <c r="B26" s="4">
        <v>23</v>
      </c>
      <c r="C26" s="5"/>
      <c r="D26" s="6" t="s">
        <v>16</v>
      </c>
      <c r="E26" s="5"/>
      <c r="F26" s="17">
        <f>(F17+F15*0.66)/$E9</f>
        <v>0.0698313</v>
      </c>
      <c r="G26" s="17">
        <f>(G17+G15*0.66)/$E9</f>
        <v>0.0698313</v>
      </c>
      <c r="H26" s="17">
        <f>(H17+H15*0.66)/$E9</f>
        <v>0.0698313</v>
      </c>
      <c r="I26" s="17">
        <f>(I17+I15*0.66)/$E9</f>
        <v>0.0698313</v>
      </c>
      <c r="J26" s="36">
        <f>(J17+J15*0.66)/$E9</f>
        <v>0.0698313</v>
      </c>
    </row>
    <row r="27" spans="2:10" ht="12.75" customHeight="1">
      <c r="B27" s="2">
        <v>27</v>
      </c>
      <c r="C27" s="32"/>
      <c r="D27" s="33" t="s">
        <v>26</v>
      </c>
      <c r="E27" s="74">
        <f>E48</f>
        <v>0.10845487285882408</v>
      </c>
      <c r="F27" s="74">
        <f>F48</f>
        <v>0.1108284171799816</v>
      </c>
      <c r="G27" s="74">
        <f>G48</f>
        <v>0.11536825511979468</v>
      </c>
      <c r="H27" s="74">
        <f>H48</f>
        <v>0.12745696999372594</v>
      </c>
      <c r="I27" s="74">
        <f>I48</f>
        <v>0.25631414359277926</v>
      </c>
      <c r="J27" s="107"/>
    </row>
    <row r="28" spans="2:10" ht="12.75" customHeight="1" thickBot="1">
      <c r="B28" s="4">
        <v>28</v>
      </c>
      <c r="C28" s="8"/>
      <c r="D28" s="6" t="s">
        <v>17</v>
      </c>
      <c r="E28" s="18">
        <f>SUM(F53:$J53)</f>
        <v>8434.409854536407</v>
      </c>
      <c r="F28" s="18">
        <f>SUM(G53:$J53)/F52</f>
        <v>6722.3871029493675</v>
      </c>
      <c r="G28" s="18">
        <f>SUM(H53:$J53)/G52</f>
        <v>4840.643025240367</v>
      </c>
      <c r="H28" s="18">
        <f>SUM(I53:$J53)/H52</f>
        <v>2772.323964720153</v>
      </c>
      <c r="I28" s="18">
        <f>SUM(J53:$J53)/I52</f>
        <v>498.90037710437696</v>
      </c>
      <c r="J28" s="7"/>
    </row>
    <row r="29" spans="2:10" ht="12.75" customHeight="1">
      <c r="B29" s="1">
        <v>29</v>
      </c>
      <c r="C29" s="61"/>
      <c r="D29" s="49" t="s">
        <v>27</v>
      </c>
      <c r="E29" s="71">
        <f>E28/(E28+E7)*E27+E7/(E28+E7)*E43*0.66</f>
        <v>0.09055137007585295</v>
      </c>
      <c r="F29" s="71">
        <f>F28/(F28+F7)*F27+F7/(F28+F7)*F43*0.66</f>
        <v>0.0891808431378096</v>
      </c>
      <c r="G29" s="71">
        <f>G28/(G28+G7)*G27+G7/(G28+G7)*G43*0.66</f>
        <v>0.0870588866988959</v>
      </c>
      <c r="H29" s="71">
        <f>H28/(H28+H7)*H27+H7/(H28+H7)*H43*0.66</f>
        <v>0.08336163705770863</v>
      </c>
      <c r="I29" s="71">
        <f>I28/(I28+I7)*I27+I7/(I28+I7)*I43*0.66</f>
        <v>0.07536846661936125</v>
      </c>
      <c r="J29" s="108"/>
    </row>
    <row r="30" spans="2:10" ht="12.75" customHeight="1" thickBot="1">
      <c r="B30" s="4">
        <v>31</v>
      </c>
      <c r="C30" s="8"/>
      <c r="D30" s="6" t="s">
        <v>29</v>
      </c>
      <c r="E30" s="18">
        <f>SUM(F57:$J57)-E7</f>
        <v>8434.409854536409</v>
      </c>
      <c r="F30" s="18">
        <f>SUM(G57:$J57)/F56-F7</f>
        <v>6722.387102949366</v>
      </c>
      <c r="G30" s="18">
        <f>SUM(H57:$J57)/G56-G7</f>
        <v>4840.643025240366</v>
      </c>
      <c r="H30" s="18">
        <f>SUM(I57:$J57)/H56-H7</f>
        <v>2772.3239647201526</v>
      </c>
      <c r="I30" s="18">
        <f>SUM(J57:$J57)/I56-I7</f>
        <v>498.9003771043763</v>
      </c>
      <c r="J30" s="62"/>
    </row>
    <row r="31" spans="2:10" ht="12.75" customHeight="1" thickBot="1">
      <c r="B31" s="2">
        <v>32</v>
      </c>
      <c r="C31" s="37"/>
      <c r="D31" s="58" t="s">
        <v>18</v>
      </c>
      <c r="E31" s="59">
        <f>E28-E8</f>
        <v>434.4098545364068</v>
      </c>
      <c r="F31" s="59">
        <f>F28-F8</f>
        <v>722.3871029493675</v>
      </c>
      <c r="G31" s="59">
        <f>G28-G8</f>
        <v>840.643025240367</v>
      </c>
      <c r="H31" s="59">
        <f>H28-H8</f>
        <v>772.3239647201531</v>
      </c>
      <c r="I31" s="59">
        <f>I28-I8</f>
        <v>498.90037710437696</v>
      </c>
      <c r="J31" s="60"/>
    </row>
    <row r="32" spans="2:10" ht="12.75" customHeight="1" thickBot="1" thickTop="1">
      <c r="B32" s="2"/>
      <c r="C32" s="37"/>
      <c r="D32" s="37"/>
      <c r="E32" s="37"/>
      <c r="F32" s="37"/>
      <c r="G32" s="37"/>
      <c r="H32" s="37"/>
      <c r="I32" s="37"/>
      <c r="J32" s="3"/>
    </row>
    <row r="33" spans="2:10" ht="12.75" customHeight="1">
      <c r="B33" s="2">
        <v>33</v>
      </c>
      <c r="C33" s="37"/>
      <c r="D33" s="21" t="s">
        <v>37</v>
      </c>
      <c r="E33" s="22"/>
      <c r="F33" s="23">
        <f>F17-E8*E27</f>
        <v>-240.86338287059266</v>
      </c>
      <c r="G33" s="23">
        <f>G17-F8*F27</f>
        <v>-38.19490307988963</v>
      </c>
      <c r="H33" s="23">
        <f>H17-G8*G27</f>
        <v>165.3025795208212</v>
      </c>
      <c r="I33" s="23">
        <f>I17-H8*H27</f>
        <v>371.8616600125481</v>
      </c>
      <c r="J33" s="24">
        <f>J17-I8*I27</f>
        <v>626.7755999999999</v>
      </c>
    </row>
    <row r="34" spans="2:10" ht="12.75" customHeight="1" thickBot="1">
      <c r="B34" s="4">
        <v>34</v>
      </c>
      <c r="C34" s="8"/>
      <c r="D34" s="25" t="s">
        <v>39</v>
      </c>
      <c r="E34" s="19">
        <f>SUM(F54:$J54)</f>
        <v>434.409854536408</v>
      </c>
      <c r="F34" s="19">
        <f>SUM(G54:$J54)/F52</f>
        <v>722.3871029493671</v>
      </c>
      <c r="G34" s="19">
        <f>SUM(H54:$J54)/G52</f>
        <v>840.6430252403674</v>
      </c>
      <c r="H34" s="19">
        <f>SUM(I54:$J54)/H52</f>
        <v>772.3239647201531</v>
      </c>
      <c r="I34" s="19">
        <f>SUM(J54:$J54)/I52</f>
        <v>498.90037710437696</v>
      </c>
      <c r="J34" s="7"/>
    </row>
    <row r="35" spans="2:10" ht="12.75">
      <c r="B35" s="83">
        <v>35</v>
      </c>
      <c r="C35" s="64"/>
      <c r="D35" s="21" t="s">
        <v>38</v>
      </c>
      <c r="E35" s="64"/>
      <c r="F35" s="84">
        <f>F17+F15*0.66-E9*E29</f>
        <v>-248.6408409102355</v>
      </c>
      <c r="G35" s="84">
        <f>G17+G15*0.66-F9*F29</f>
        <v>-53.8328313780961</v>
      </c>
      <c r="H35" s="84">
        <f>H17+H15*0.66-G9*G29</f>
        <v>141.50450640883275</v>
      </c>
      <c r="I35" s="84">
        <f>I17+I15*0.66-H9*H29</f>
        <v>337.8057776537482</v>
      </c>
      <c r="J35" s="109">
        <f>J17+J15*0.66-I9*I29</f>
        <v>536.501733522555</v>
      </c>
    </row>
    <row r="36" spans="2:10" ht="13.5" thickBot="1">
      <c r="B36" s="85">
        <v>36</v>
      </c>
      <c r="C36" s="68"/>
      <c r="D36" s="25" t="s">
        <v>19</v>
      </c>
      <c r="E36" s="19">
        <f>SUM(F58:$J58)</f>
        <v>434.40985453640815</v>
      </c>
      <c r="F36" s="19">
        <f>SUM(G58:$J58)/F56</f>
        <v>722.3871029493673</v>
      </c>
      <c r="G36" s="19">
        <f>SUM(H58:$J58)/G56</f>
        <v>840.6430252403676</v>
      </c>
      <c r="H36" s="19">
        <f>SUM(I58:$J58)/H56</f>
        <v>772.3239647201532</v>
      </c>
      <c r="I36" s="19">
        <f>SUM(J58:$J58)/I56</f>
        <v>498.90037710437707</v>
      </c>
      <c r="J36" s="69"/>
    </row>
    <row r="37" spans="2:10" ht="13.5" thickBot="1">
      <c r="B37" s="86">
        <v>37</v>
      </c>
      <c r="C37" s="87"/>
      <c r="D37" s="88" t="s">
        <v>47</v>
      </c>
      <c r="E37" s="89"/>
      <c r="F37" s="89">
        <f>F33-F35</f>
        <v>7.777458039642852</v>
      </c>
      <c r="G37" s="89">
        <f>G33-G35</f>
        <v>15.637928298206475</v>
      </c>
      <c r="H37" s="89">
        <f>H33-H35</f>
        <v>23.798073111988458</v>
      </c>
      <c r="I37" s="89">
        <f>I33-I35</f>
        <v>34.05588235879992</v>
      </c>
      <c r="J37" s="90">
        <f>J33-J35</f>
        <v>90.27386647744493</v>
      </c>
    </row>
    <row r="38" spans="2:10" s="39" customFormat="1" ht="12.75">
      <c r="B38" s="103"/>
      <c r="C38" s="64"/>
      <c r="D38" s="49"/>
      <c r="E38" s="104"/>
      <c r="F38" s="104"/>
      <c r="G38" s="104"/>
      <c r="H38" s="104"/>
      <c r="I38" s="104"/>
      <c r="J38" s="105"/>
    </row>
    <row r="39" spans="2:10" s="39" customFormat="1" ht="12.75">
      <c r="B39" s="106"/>
      <c r="D39" s="33"/>
      <c r="E39" s="72"/>
      <c r="F39" s="72"/>
      <c r="G39" s="72"/>
      <c r="H39" s="72"/>
      <c r="I39" s="72"/>
      <c r="J39" s="75"/>
    </row>
    <row r="40" spans="2:10" s="39" customFormat="1" ht="13.5" thickBot="1">
      <c r="B40" s="106"/>
      <c r="D40" s="33"/>
      <c r="E40" s="72"/>
      <c r="F40" s="72"/>
      <c r="G40" s="72"/>
      <c r="H40" s="72"/>
      <c r="I40" s="72"/>
      <c r="J40" s="75"/>
    </row>
    <row r="41" spans="2:10" ht="12.75">
      <c r="B41" s="63"/>
      <c r="C41" s="64"/>
      <c r="D41" s="64" t="s">
        <v>30</v>
      </c>
      <c r="E41" s="65">
        <v>0.1</v>
      </c>
      <c r="F41" s="65">
        <f>E41</f>
        <v>0.1</v>
      </c>
      <c r="G41" s="65">
        <f>F41</f>
        <v>0.1</v>
      </c>
      <c r="H41" s="65">
        <f>G41</f>
        <v>0.1</v>
      </c>
      <c r="I41" s="65">
        <f>H41</f>
        <v>0.1</v>
      </c>
      <c r="J41" s="66"/>
    </row>
    <row r="42" spans="2:10" ht="13.5" thickBot="1">
      <c r="B42" s="67"/>
      <c r="C42" s="68"/>
      <c r="D42" s="6" t="s">
        <v>31</v>
      </c>
      <c r="E42" s="18">
        <f>NPV(E41,F23:$J23)</f>
        <v>12000.00300250231</v>
      </c>
      <c r="F42" s="18">
        <f>NPV(F41,G23:$J23)</f>
        <v>10362.027702752543</v>
      </c>
      <c r="G42" s="18">
        <f>NPV(G41,H23:$J23)</f>
        <v>8560.254873027796</v>
      </c>
      <c r="H42" s="18">
        <f>NPV(H41,I23:$J23)</f>
        <v>6578.304760330577</v>
      </c>
      <c r="I42" s="18">
        <f>NPV(I41,J23:$J23)</f>
        <v>4398.159636363635</v>
      </c>
      <c r="J42" s="69"/>
    </row>
    <row r="43" spans="2:10" ht="12.75">
      <c r="B43" s="63"/>
      <c r="C43" s="64"/>
      <c r="D43" s="49" t="s">
        <v>32</v>
      </c>
      <c r="E43" s="70">
        <v>0.08</v>
      </c>
      <c r="F43" s="70">
        <v>0.08</v>
      </c>
      <c r="G43" s="70">
        <v>0.08</v>
      </c>
      <c r="H43" s="70">
        <v>0.08</v>
      </c>
      <c r="I43" s="70">
        <v>0.08</v>
      </c>
      <c r="J43" s="66"/>
    </row>
    <row r="44" spans="2:10" ht="12.75">
      <c r="B44" s="38"/>
      <c r="C44" s="39"/>
      <c r="D44" s="33" t="s">
        <v>33</v>
      </c>
      <c r="E44" s="52"/>
      <c r="F44" s="72">
        <f>F15*0.34</f>
        <v>108.80000000000001</v>
      </c>
      <c r="G44" s="72">
        <f>G15*0.34</f>
        <v>108.80000000000001</v>
      </c>
      <c r="H44" s="72">
        <f>H15*0.34</f>
        <v>108.80000000000001</v>
      </c>
      <c r="I44" s="72">
        <f>I15*0.34</f>
        <v>108.80000000000001</v>
      </c>
      <c r="J44" s="75">
        <f>J15*0.34</f>
        <v>108.80000000000001</v>
      </c>
    </row>
    <row r="45" spans="2:10" ht="12.75">
      <c r="B45" s="38"/>
      <c r="C45" s="39"/>
      <c r="D45" s="33" t="s">
        <v>34</v>
      </c>
      <c r="E45" s="72">
        <f>NPV(E43,F44:$J44)</f>
        <v>434.4068520340957</v>
      </c>
      <c r="F45" s="72">
        <f>NPV(F43,G44:$J44)</f>
        <v>360.35940019682334</v>
      </c>
      <c r="G45" s="72">
        <f>NPV(G43,H44:$J44)</f>
        <v>280.38815221256925</v>
      </c>
      <c r="H45" s="72">
        <f>NPV(H43,I44:$J44)</f>
        <v>194.01920438957478</v>
      </c>
      <c r="I45" s="72">
        <f>NPV(I43,J44:$J44)</f>
        <v>100.74074074074075</v>
      </c>
      <c r="J45" s="76"/>
    </row>
    <row r="46" spans="2:10" ht="12.75">
      <c r="B46" s="38"/>
      <c r="C46" s="39"/>
      <c r="D46" s="33" t="s">
        <v>35</v>
      </c>
      <c r="E46" s="52">
        <f>E42+E45</f>
        <v>12434.409854536405</v>
      </c>
      <c r="F46" s="52">
        <f>F42+F45</f>
        <v>10722.387102949366</v>
      </c>
      <c r="G46" s="52">
        <f>G42+G45</f>
        <v>8840.643025240364</v>
      </c>
      <c r="H46" s="52">
        <f>H42+H45</f>
        <v>6772.323964720152</v>
      </c>
      <c r="I46" s="52">
        <f>I42+I45</f>
        <v>4498.900377104376</v>
      </c>
      <c r="J46" s="76"/>
    </row>
    <row r="47" spans="2:10" ht="12.75">
      <c r="B47" s="38"/>
      <c r="C47" s="39"/>
      <c r="D47" s="33" t="s">
        <v>36</v>
      </c>
      <c r="E47" s="52">
        <f>E46-E7</f>
        <v>8434.409854536405</v>
      </c>
      <c r="F47" s="52">
        <f>F46-F7</f>
        <v>6722.387102949366</v>
      </c>
      <c r="G47" s="52">
        <f>G46-G7</f>
        <v>4840.643025240364</v>
      </c>
      <c r="H47" s="52">
        <f>H46-H7</f>
        <v>2772.3239647201517</v>
      </c>
      <c r="I47" s="52">
        <f>I46-I7</f>
        <v>498.9003771043763</v>
      </c>
      <c r="J47" s="76"/>
    </row>
    <row r="48" spans="2:10" ht="13.5" thickBot="1">
      <c r="B48" s="67"/>
      <c r="C48" s="68"/>
      <c r="D48" s="6" t="s">
        <v>26</v>
      </c>
      <c r="E48" s="77">
        <f>E41+(E7-E45)*(E41-E43)/E47</f>
        <v>0.10845487285882408</v>
      </c>
      <c r="F48" s="77">
        <f>F41+(F7-F45)*(F41-F43)/F47</f>
        <v>0.1108284171799816</v>
      </c>
      <c r="G48" s="77">
        <f>G41+(G7-G45)*(G41-G43)/G47</f>
        <v>0.11536825511979468</v>
      </c>
      <c r="H48" s="77">
        <f>H41+(H7-H45)*(H41-H43)/H47</f>
        <v>0.12745696999372594</v>
      </c>
      <c r="I48" s="77">
        <f>I41+(I7-I45)*(I41-I43)/I47</f>
        <v>0.25631414359277926</v>
      </c>
      <c r="J48" s="69"/>
    </row>
    <row r="49" spans="2:10" s="93" customFormat="1" ht="12.75">
      <c r="B49" s="91"/>
      <c r="C49" s="91"/>
      <c r="D49" s="79" t="s">
        <v>48</v>
      </c>
      <c r="E49" s="34">
        <f>E43*0.66*E7/E9+E8/E9*E27</f>
        <v>0.08990324857254939</v>
      </c>
      <c r="F49" s="34">
        <f>F43*0.66*F7/F9+F8/F9*F27</f>
        <v>0.08761705030798896</v>
      </c>
      <c r="G49" s="34">
        <f>G43*0.66*G7/G9+G8/G9*G27</f>
        <v>0.08408412755989735</v>
      </c>
      <c r="H49" s="34">
        <f>H43*0.66*H7/H9+H8/H9*H27</f>
        <v>0.0776856566645753</v>
      </c>
      <c r="I49" s="34">
        <f>I43*0.66*I7/I9+I8/I9*I27</f>
        <v>0.05280000000000001</v>
      </c>
      <c r="J49" s="92"/>
    </row>
    <row r="50" spans="2:10" ht="12.75">
      <c r="B50" s="39"/>
      <c r="C50" s="95" t="s">
        <v>50</v>
      </c>
      <c r="D50" s="96" t="s">
        <v>49</v>
      </c>
      <c r="E50" s="95"/>
      <c r="F50" s="97">
        <f>E9*(E29-E49)</f>
        <v>7.777458039642804</v>
      </c>
      <c r="G50" s="97">
        <f>F9*(F29-F49)</f>
        <v>15.63792829820651</v>
      </c>
      <c r="H50" s="97">
        <f>G9*(G29-G49)</f>
        <v>23.79807311198845</v>
      </c>
      <c r="I50" s="97">
        <f>H9*(H29-H49)</f>
        <v>34.05588235879997</v>
      </c>
      <c r="J50" s="97">
        <f>I9*(I29-I49)</f>
        <v>90.27386647744498</v>
      </c>
    </row>
    <row r="51" spans="2:10" ht="12.75">
      <c r="B51" s="39"/>
      <c r="C51" s="39"/>
      <c r="D51" s="33"/>
      <c r="F51" s="94"/>
      <c r="G51" s="94"/>
      <c r="H51" s="94"/>
      <c r="I51" s="94"/>
      <c r="J51" s="94"/>
    </row>
    <row r="52" spans="2:10" ht="12.75">
      <c r="B52" s="39"/>
      <c r="C52" s="39"/>
      <c r="D52" s="79" t="s">
        <v>40</v>
      </c>
      <c r="E52" s="73"/>
      <c r="F52" s="78">
        <f>1/(1+E27)</f>
        <v>0.902156708843629</v>
      </c>
      <c r="G52" s="78">
        <f>F52/(1+F27)</f>
        <v>0.812147668254563</v>
      </c>
      <c r="H52" s="78">
        <f>G52/(1+G27)</f>
        <v>0.7281430725023954</v>
      </c>
      <c r="I52" s="78">
        <f>H52/(1+H27)</f>
        <v>0.64582781594445</v>
      </c>
      <c r="J52" s="78">
        <f>I52/(1+I27)</f>
        <v>0.5140655458176456</v>
      </c>
    </row>
    <row r="53" spans="2:10" ht="12.75">
      <c r="B53" s="39"/>
      <c r="C53" s="39"/>
      <c r="D53" s="33" t="s">
        <v>42</v>
      </c>
      <c r="E53" s="73"/>
      <c r="F53" s="80">
        <f>F22*F52</f>
        <v>2369.7632301667486</v>
      </c>
      <c r="G53" s="80">
        <f>G22*G52</f>
        <v>2133.3296785679804</v>
      </c>
      <c r="H53" s="80">
        <f>H22*H52</f>
        <v>1912.6684561583231</v>
      </c>
      <c r="I53" s="80">
        <f>I22*I52</f>
        <v>1696.4447487241723</v>
      </c>
      <c r="J53" s="80">
        <f>J22*J52</f>
        <v>322.2037409191823</v>
      </c>
    </row>
    <row r="54" spans="2:10" ht="12.75">
      <c r="B54" s="39"/>
      <c r="C54" s="39"/>
      <c r="D54" s="33" t="s">
        <v>43</v>
      </c>
      <c r="E54" s="73"/>
      <c r="F54" s="81">
        <f>F33*F52</f>
        <v>-217.2965167714768</v>
      </c>
      <c r="G54" s="81">
        <f>G33*G52</f>
        <v>-31.019901475541385</v>
      </c>
      <c r="H54" s="81">
        <f>H33*H52</f>
        <v>120.3639281448623</v>
      </c>
      <c r="I54" s="81">
        <f>I33*I52</f>
        <v>240.15860371938157</v>
      </c>
      <c r="J54" s="81">
        <f>J33*J52</f>
        <v>322.2037409191823</v>
      </c>
    </row>
    <row r="55" spans="2:10" ht="12.75">
      <c r="B55" s="39"/>
      <c r="C55" s="39"/>
      <c r="D55" s="33"/>
      <c r="E55" s="73"/>
      <c r="F55" s="73"/>
      <c r="G55" s="73"/>
      <c r="H55" s="73"/>
      <c r="I55" s="73"/>
      <c r="J55" s="39"/>
    </row>
    <row r="56" spans="2:10" ht="12.75">
      <c r="B56" s="39"/>
      <c r="C56" s="39"/>
      <c r="D56" s="82" t="s">
        <v>44</v>
      </c>
      <c r="E56" s="73"/>
      <c r="F56" s="78">
        <f>1/(1+E29)</f>
        <v>0.9169673501308291</v>
      </c>
      <c r="G56" s="78">
        <f>F56/(1+F29)</f>
        <v>0.8418871447363576</v>
      </c>
      <c r="H56" s="78">
        <f>G56/(1+G29)</f>
        <v>0.774463237491155</v>
      </c>
      <c r="I56" s="78">
        <f>H56/(1+H29)</f>
        <v>0.7148704652257322</v>
      </c>
      <c r="J56" s="78">
        <f>I56/(1+I29)</f>
        <v>0.6647679259864039</v>
      </c>
    </row>
    <row r="57" spans="2:10" ht="12.75">
      <c r="B57" s="39"/>
      <c r="C57" s="39"/>
      <c r="D57" s="33" t="s">
        <v>45</v>
      </c>
      <c r="E57" s="73"/>
      <c r="F57" s="78">
        <f>F23*F56</f>
        <v>2602.3309656679494</v>
      </c>
      <c r="G57" s="78">
        <f>G23*G56</f>
        <v>2389.255174715451</v>
      </c>
      <c r="H57" s="78">
        <f>H23*H56</f>
        <v>2197.9077710969027</v>
      </c>
      <c r="I57" s="78">
        <f>I23*I56</f>
        <v>2028.7849374712762</v>
      </c>
      <c r="J57" s="78">
        <f>J23*J56</f>
        <v>3216.1310055848276</v>
      </c>
    </row>
    <row r="58" spans="2:10" ht="12.75">
      <c r="B58" s="39"/>
      <c r="C58" s="39"/>
      <c r="D58" s="33" t="s">
        <v>46</v>
      </c>
      <c r="E58" s="73"/>
      <c r="F58" s="78">
        <f>F56*F35</f>
        <v>-227.9955330237597</v>
      </c>
      <c r="G58" s="78">
        <f>G56*G35</f>
        <v>-45.321168701979126</v>
      </c>
      <c r="H58" s="78">
        <f>H56*H35</f>
        <v>109.5900381529725</v>
      </c>
      <c r="I58" s="78">
        <f>I56*I35</f>
        <v>241.4873734272752</v>
      </c>
      <c r="J58" s="78">
        <f>J56*J35</f>
        <v>356.64914468189926</v>
      </c>
    </row>
  </sheetData>
  <mergeCells count="2">
    <mergeCell ref="C2:D2"/>
    <mergeCell ref="C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2004-03-01T12:44:09Z</dcterms:created>
  <dcterms:modified xsi:type="dcterms:W3CDTF">2004-03-06T10:21:58Z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-1265603893</vt:i4>
  </property>
  <property fmtid="{D5CDD505-2E9C-101B-9397-08002B2CF9AE}" pid="4" name="_EmailSubje">
    <vt:lpwstr> Cambiar estas tablas cap 18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