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3365" windowHeight="8820" activeTab="5"/>
  </bookViews>
  <sheets>
    <sheet name="Tabla 1" sheetId="1" r:id="rId1"/>
    <sheet name="2a8" sheetId="2" r:id="rId2"/>
    <sheet name="9" sheetId="3" r:id="rId3"/>
    <sheet name="10" sheetId="4" r:id="rId4"/>
    <sheet name="Boeing" sheetId="5" r:id="rId5"/>
    <sheet name="12y13" sheetId="6" r:id="rId6"/>
  </sheets>
  <definedNames>
    <definedName name="_xlnm.Print_Area" localSheetId="0">'Tabla 1'!$A$1:$H$37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<sst xmlns="http://schemas.openxmlformats.org/spreadsheetml/2006/main" count="439" uniqueCount="195">
  <si>
    <t>Endeudamiento (valor contable)</t>
  </si>
  <si>
    <t>NOTA SOBRE LA TEORIA DE LA ESTRUCTURA DE CAPITAL OPTIMA (FN-215) Anexo 1</t>
  </si>
  <si>
    <t>Perpetuidad g=0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</si>
  <si>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</si>
  <si>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</si>
  <si>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</si>
  <si>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</si>
  <si>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</si>
  <si>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</si>
  <si>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la deuda: Kd</t>
  </si>
  <si>
    <t>Coste de los recursos propios: Ke</t>
  </si>
  <si>
    <t>Valor de mercado de la deuda;  VD (L3/L9)</t>
  </si>
  <si>
    <t>Valor acciones. VE (L7/L10)</t>
  </si>
  <si>
    <t>Valor de mercado de la empresa VF (L11+L12)</t>
  </si>
  <si>
    <t xml:space="preserve">Valor contable de la deuda, BVD </t>
  </si>
  <si>
    <t>Valor contable de las acciones, BVE</t>
  </si>
  <si>
    <t>Valor contable de la empresa, BVF</t>
  </si>
  <si>
    <t xml:space="preserve">  ROA (BAIT (1–t)/L16)</t>
  </si>
  <si>
    <t xml:space="preserve">  ROE (L6/L15)</t>
  </si>
  <si>
    <t>Número de acciones en circulación, N</t>
  </si>
  <si>
    <t>Cotización de la acción, P (L12/L19)</t>
  </si>
  <si>
    <t>Beneficio por acción, BPA (L6/L19)</t>
  </si>
  <si>
    <t xml:space="preserve">Ratio cotización-beneficio, PER </t>
  </si>
  <si>
    <t>Endeudamiento contable (L14/L16)</t>
  </si>
  <si>
    <t>Endeudamiento (mercado), VD/VF (L11/L13)</t>
  </si>
  <si>
    <t>Coste promedio del capital (WACC)</t>
  </si>
  <si>
    <t>Cash flow disponible, FCF = BAIT (1-T)</t>
  </si>
  <si>
    <t>Valor de mercado de la empresa, VF (L26/L25)</t>
  </si>
  <si>
    <t>D+E</t>
  </si>
  <si>
    <t>WACC</t>
  </si>
  <si>
    <t>P (precio de la acción)</t>
  </si>
  <si>
    <t>Dividendos = CFac</t>
  </si>
  <si>
    <t>Figura 27.1</t>
  </si>
  <si>
    <t>Figura 27.2</t>
  </si>
  <si>
    <t>Ke - Kd (1-T)</t>
  </si>
  <si>
    <t>Ke - Kd</t>
  </si>
  <si>
    <t>Valor de la deuda D</t>
  </si>
  <si>
    <t>TABLA 26.6</t>
  </si>
  <si>
    <t>aumento Ke</t>
  </si>
  <si>
    <t>aumento Kd</t>
  </si>
  <si>
    <t>Ke si Pq = 0</t>
  </si>
  <si>
    <t>Kd si Pq = 0</t>
  </si>
  <si>
    <t>Pq (acciones)</t>
  </si>
  <si>
    <t>Pq (deuda)</t>
  </si>
  <si>
    <t>TABLA 26.8</t>
  </si>
  <si>
    <t>rentabilidad exigida al flujo incremental</t>
  </si>
  <si>
    <r>
      <t>flujo incremental para las acciones (</t>
    </r>
    <r>
      <rPr>
        <sz val="8"/>
        <rFont val="Symbol"/>
        <family val="0"/>
      </rPr>
      <t>D</t>
    </r>
    <r>
      <rPr>
        <sz val="8"/>
        <rFont val="Arial Narrow"/>
        <family val="0"/>
      </rPr>
      <t>Div)</t>
    </r>
  </si>
  <si>
    <t>Rentabilidad exigida a los flujos incrementales para las acciones (de derecha a izquierda):</t>
  </si>
  <si>
    <t>Ke</t>
  </si>
  <si>
    <t>TABLA 26.5</t>
  </si>
  <si>
    <t>SUMA</t>
  </si>
  <si>
    <t>Acciones (dividendos)</t>
  </si>
  <si>
    <t>Deuda (intereses)</t>
  </si>
  <si>
    <t>Impuestos</t>
  </si>
  <si>
    <t>Flujos:</t>
  </si>
  <si>
    <r>
      <t xml:space="preserve"> </t>
    </r>
    <r>
      <rPr>
        <sz val="8"/>
        <rFont val="Symbol"/>
        <family val="1"/>
      </rPr>
      <t>D</t>
    </r>
    <r>
      <rPr>
        <sz val="8"/>
        <rFont val="Tms Rmn"/>
        <family val="0"/>
      </rPr>
      <t xml:space="preserve">Kactivos </t>
    </r>
  </si>
  <si>
    <t>Valor de Ku que resulta con los valores del anexo:</t>
  </si>
  <si>
    <t>Ku= {EKe + DKd (1-T)} / {E + D (1-T)}</t>
  </si>
  <si>
    <t>Ahorro impuestos por deuda/VAN</t>
  </si>
  <si>
    <t>Ahorro impuestos por deuda</t>
  </si>
  <si>
    <t>luego: VAN (ahorro impuestos por deuda)</t>
  </si>
  <si>
    <t>D + E (según el anexo)</t>
  </si>
  <si>
    <t xml:space="preserve">Vu = </t>
  </si>
  <si>
    <t>APV.  D+E = Vu + VAN (ahorro impuestos debido a la deuda)</t>
  </si>
  <si>
    <t>Precio por acción en la recompra para pasar desde endeudamiento anterior hasta endeudamiento actual</t>
  </si>
  <si>
    <t>Precio por acción en la recompra para pasar desde D=0 hasta endeudamiento actual</t>
  </si>
  <si>
    <t>TABLA 26.7</t>
  </si>
  <si>
    <t>Promedio</t>
  </si>
  <si>
    <t>50.000 siguientes</t>
  </si>
  <si>
    <t>50.000 iniciales</t>
  </si>
  <si>
    <t>Coste de la deuda por tramos</t>
  </si>
  <si>
    <t>TABLA 26.4</t>
  </si>
  <si>
    <t>Kimp</t>
  </si>
  <si>
    <t>GOV =</t>
  </si>
  <si>
    <t>Riesgo de los impuestos para mantener el valor total de D+E+GOV en 1.000.000</t>
  </si>
  <si>
    <r>
      <t>D (</t>
    </r>
    <r>
      <rPr>
        <sz val="8"/>
        <rFont val="Tms Rmn"/>
        <family val="0"/>
      </rPr>
      <t>DT)</t>
    </r>
  </si>
  <si>
    <r>
      <t>D</t>
    </r>
    <r>
      <rPr>
        <sz val="8"/>
        <rFont val="Arial Narrow"/>
        <family val="2"/>
      </rPr>
      <t xml:space="preserve">  costes del apalancamiento</t>
    </r>
  </si>
  <si>
    <t>VAN (Costes del apalancamiento)</t>
  </si>
  <si>
    <t>TABLA 26.3</t>
  </si>
  <si>
    <r>
      <t>D</t>
    </r>
    <r>
      <rPr>
        <i/>
        <sz val="8"/>
        <rFont val="Arial Narrow"/>
        <family val="0"/>
      </rPr>
      <t xml:space="preserve"> Kactivos </t>
    </r>
  </si>
  <si>
    <t>Kactivos = (2) / (29)</t>
  </si>
  <si>
    <t>D + E + GOV = (11) + (12) + (28)</t>
  </si>
  <si>
    <t>Valor de los impuestos. GOV = (5) / Ke</t>
  </si>
  <si>
    <t>Suma = flujos generados por la empresa = BAIT</t>
  </si>
  <si>
    <t>Flujos para las acciones (dividendos)</t>
  </si>
  <si>
    <t>Flujos para la deuda (intereses)</t>
  </si>
  <si>
    <t>Impuestos anuales</t>
  </si>
  <si>
    <t>TABLA 26.2</t>
  </si>
  <si>
    <t>ANALISIS</t>
  </si>
  <si>
    <t>Deuda en la estructura de capital (*)</t>
  </si>
  <si>
    <t>Precio mercado</t>
  </si>
  <si>
    <t>Rf</t>
  </si>
  <si>
    <t>precio</t>
  </si>
  <si>
    <t>tasa</t>
  </si>
  <si>
    <t>expect</t>
  </si>
  <si>
    <t>Inversor 2</t>
  </si>
  <si>
    <t>Inversor 1</t>
  </si>
  <si>
    <t>Máximo en 20%</t>
  </si>
  <si>
    <t>B</t>
  </si>
  <si>
    <t>A</t>
  </si>
  <si>
    <t>1**</t>
  </si>
  <si>
    <t>Ke MM</t>
  </si>
  <si>
    <t>Kd MM</t>
  </si>
  <si>
    <r>
      <t>flujo incremental para las acciones (</t>
    </r>
    <r>
      <rPr>
        <sz val="10"/>
        <rFont val="Symbol"/>
        <family val="0"/>
      </rPr>
      <t>D</t>
    </r>
    <r>
      <rPr>
        <sz val="10"/>
        <rFont val="Arial Narrow"/>
        <family val="0"/>
      </rPr>
      <t>Div)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</si>
  <si>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Tms Rmn"/>
        <family val="0"/>
      </rPr>
      <t xml:space="preserve">Kactivos </t>
    </r>
  </si>
  <si>
    <t xml:space="preserve"> = Ke</t>
  </si>
  <si>
    <t>Endeudamiento (mercado). (11)/(13)</t>
  </si>
  <si>
    <t>Beneficio por acción, BPA. (6)/(19)</t>
  </si>
  <si>
    <t>Cotización de la acción, P (12)/(19)</t>
  </si>
  <si>
    <t>Número de acciones en circulación, NA</t>
  </si>
  <si>
    <t>Valor de mercado de la empresa. (11)+(12)</t>
  </si>
  <si>
    <t>Valor acciones E. (7)/(10)</t>
  </si>
  <si>
    <t>Valor de mercado de la deuda D. (3)/(9')</t>
  </si>
  <si>
    <t>Rentabilidad exigida a la deuda: Kd</t>
  </si>
  <si>
    <t>9'</t>
  </si>
  <si>
    <t>Coste de la deuda: r</t>
  </si>
  <si>
    <t>Mod- Miller</t>
  </si>
  <si>
    <t>Precio/acción. Recompra incremental</t>
  </si>
  <si>
    <t>TAX = 34% y disminuyendo con el apalancamiento</t>
  </si>
  <si>
    <t>de la deuda</t>
  </si>
  <si>
    <t>Incremental</t>
  </si>
  <si>
    <t>(Bef. Tax)</t>
  </si>
  <si>
    <t>(Af. Tax)</t>
  </si>
  <si>
    <t>deuda</t>
  </si>
  <si>
    <t>empresa</t>
  </si>
  <si>
    <t>Endeudamiento</t>
  </si>
  <si>
    <t>incremento</t>
  </si>
  <si>
    <t>Deuda</t>
  </si>
  <si>
    <t>la deuda</t>
  </si>
  <si>
    <t>de la</t>
  </si>
  <si>
    <t>Valor de la</t>
  </si>
  <si>
    <t>Coste del</t>
  </si>
  <si>
    <t>Coste de</t>
  </si>
  <si>
    <t>Valor</t>
  </si>
  <si>
    <t>CALCULOS A VALOR DE MERCADO</t>
  </si>
  <si>
    <t>Impuestos = 34% y disminuyendo con el apalancamiento</t>
  </si>
  <si>
    <t>incremental</t>
  </si>
  <si>
    <t>deuda (Af. Tax)</t>
  </si>
  <si>
    <t>las acciones</t>
  </si>
  <si>
    <t>Coste de la deuda</t>
  </si>
  <si>
    <t xml:space="preserve">Coste de la </t>
  </si>
  <si>
    <t>Valor de</t>
  </si>
  <si>
    <t>CALCULOS A VALOR CONTABLE</t>
  </si>
  <si>
    <t>BOEING</t>
  </si>
  <si>
    <t xml:space="preserve"> -D = E1</t>
  </si>
  <si>
    <t>(D+E) = VAN (FCF;WACC)</t>
  </si>
  <si>
    <t>Prima de mercado</t>
  </si>
  <si>
    <t xml:space="preserve">Beta L </t>
  </si>
  <si>
    <t>Beta d</t>
  </si>
  <si>
    <t>Beta u</t>
  </si>
  <si>
    <t>Tax</t>
  </si>
  <si>
    <t>Kd</t>
  </si>
  <si>
    <t>(D/E)</t>
  </si>
  <si>
    <t xml:space="preserve">D/(D+E) </t>
  </si>
  <si>
    <t>Deuda (M$)</t>
  </si>
  <si>
    <t>g</t>
  </si>
  <si>
    <t>FCF**</t>
  </si>
  <si>
    <t>CFac</t>
  </si>
  <si>
    <t xml:space="preserve"> + Aumento de deuda</t>
  </si>
  <si>
    <t xml:space="preserve"> - ∆ NOF</t>
  </si>
  <si>
    <t xml:space="preserve">  - Inversión en activo fijo</t>
  </si>
  <si>
    <t xml:space="preserve">  + amort</t>
  </si>
  <si>
    <t>Beneficio</t>
  </si>
  <si>
    <t>Impuestos (34%)</t>
  </si>
  <si>
    <t>Bfo antes Tax</t>
  </si>
  <si>
    <t>Intereses**</t>
  </si>
  <si>
    <t>Amortización</t>
  </si>
  <si>
    <t>Margen</t>
  </si>
  <si>
    <t>Cuenta de resultados del año cero</t>
  </si>
  <si>
    <t>E1 = E2</t>
  </si>
  <si>
    <t>D/(D+E) contable</t>
  </si>
  <si>
    <t>BIEN HECHO: CON VALORES CALCULADOS (de "mercado") e ITERANDO. Y arreglando cuenta de resultados del año 0</t>
  </si>
  <si>
    <t>¡¡¡¡¡¡VALORES DISTINTOS!!!!!!!!!!</t>
  </si>
  <si>
    <t>E2 = VAN (CFac; Ke)</t>
  </si>
  <si>
    <r>
      <t xml:space="preserve"> -D = </t>
    </r>
    <r>
      <rPr>
        <sz val="9"/>
        <rFont val="Tms Rmn"/>
        <family val="0"/>
      </rPr>
      <t>E1</t>
    </r>
  </si>
  <si>
    <t>WACCc</t>
  </si>
  <si>
    <t>Ke' (con valor contable)</t>
  </si>
  <si>
    <r>
      <t>R</t>
    </r>
    <r>
      <rPr>
        <vertAlign val="subscript"/>
        <sz val="10"/>
        <rFont val="Tms Rmn"/>
        <family val="0"/>
      </rPr>
      <t>F</t>
    </r>
  </si>
  <si>
    <t>Beta L ´</t>
  </si>
  <si>
    <t>DAMODARAN. MAL: con valores contables</t>
  </si>
  <si>
    <t>g (crecimiento)</t>
  </si>
  <si>
    <t>FCF</t>
  </si>
  <si>
    <t xml:space="preserve"> + aumento de deuda</t>
  </si>
  <si>
    <t xml:space="preserve"> - aumento de NOF</t>
  </si>
  <si>
    <t xml:space="preserve"> - inversión en activo fijo</t>
  </si>
  <si>
    <t xml:space="preserve"> + amortización</t>
  </si>
  <si>
    <t>Bfo antes de impuestos</t>
  </si>
  <si>
    <t>Tasa impositiva</t>
  </si>
  <si>
    <t>Deuda (D)</t>
  </si>
  <si>
    <t>(D/E)c</t>
  </si>
  <si>
    <t>BOEING. DAMODARAN pgs167-169</t>
  </si>
  <si>
    <t>TABLA 9</t>
  </si>
  <si>
    <t>TABLA 10</t>
  </si>
  <si>
    <t>TABLA 12</t>
  </si>
  <si>
    <t>TABLA 13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</si>
</sst>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7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Geneva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u val="single"/>
      <sz val="8"/>
      <name val="Tms Rmn"/>
      <family val="0"/>
    </font>
    <font>
      <b/>
      <sz val="8"/>
      <name val="Geneva"/>
      <family val="0"/>
    </font>
    <font>
      <b/>
      <sz val="8"/>
      <name val="Tms Rmn"/>
      <family val="0"/>
    </font>
    <font>
      <b/>
      <i/>
      <sz val="8"/>
      <name val="Arial Narrow"/>
      <family val="0"/>
    </font>
    <font>
      <i/>
      <sz val="8"/>
      <name val="Arial Narrow"/>
      <family val="0"/>
    </font>
    <font>
      <b/>
      <i/>
      <u val="single"/>
      <sz val="8"/>
      <name val="Arial Narrow"/>
      <family val="0"/>
    </font>
    <font>
      <sz val="8"/>
      <name val="Symbol"/>
      <family val="0"/>
    </font>
    <font>
      <u val="single"/>
      <sz val="8"/>
      <name val="Tms Rmn"/>
      <family val="0"/>
    </font>
    <font>
      <b/>
      <i/>
      <sz val="8"/>
      <name val="Tms Rmn"/>
      <family val="0"/>
    </font>
    <font>
      <b/>
      <sz val="8"/>
      <name val="Symbol"/>
      <family val="1"/>
    </font>
    <font>
      <i/>
      <sz val="8"/>
      <name val="Geneva"/>
      <family val="0"/>
    </font>
    <font>
      <i/>
      <sz val="8"/>
      <name val="Symbol"/>
      <family val="0"/>
    </font>
    <font>
      <b/>
      <i/>
      <u val="single"/>
      <sz val="10"/>
      <name val="Geneva"/>
      <family val="0"/>
    </font>
    <font>
      <sz val="10"/>
      <name val="Arial Narrow"/>
      <family val="0"/>
    </font>
    <font>
      <b/>
      <sz val="10"/>
      <name val="Arial Narrow"/>
      <family val="0"/>
    </font>
    <font>
      <b/>
      <i/>
      <u val="single"/>
      <sz val="10"/>
      <name val="Arial Narrow"/>
      <family val="0"/>
    </font>
    <font>
      <sz val="10"/>
      <name val="Symbol"/>
      <family val="0"/>
    </font>
    <font>
      <b/>
      <i/>
      <sz val="10"/>
      <name val="Tms Rmn"/>
      <family val="0"/>
    </font>
    <font>
      <b/>
      <sz val="10"/>
      <name val="Symbol"/>
      <family val="1"/>
    </font>
    <font>
      <b/>
      <sz val="12"/>
      <name val="Tms Rmn"/>
      <family val="0"/>
    </font>
    <font>
      <u val="single"/>
      <sz val="8"/>
      <name val="Arial Narrow"/>
      <family val="0"/>
    </font>
    <font>
      <b/>
      <u val="single"/>
      <sz val="12"/>
      <name val="Tms Rmn"/>
      <family val="0"/>
    </font>
    <font>
      <sz val="8"/>
      <color indexed="8"/>
      <name val="Tms Rmn"/>
      <family val="0"/>
    </font>
    <font>
      <b/>
      <sz val="8"/>
      <color indexed="8"/>
      <name val="Tms Rmn"/>
      <family val="0"/>
    </font>
    <font>
      <sz val="7.35"/>
      <color indexed="8"/>
      <name val="Tms Rmn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name val="Tms Rmn"/>
      <family val="0"/>
    </font>
    <font>
      <b/>
      <sz val="9"/>
      <name val="Tms Rmn"/>
      <family val="0"/>
    </font>
    <font>
      <b/>
      <i/>
      <u val="single"/>
      <sz val="9"/>
      <name val="Tms Rmn"/>
      <family val="0"/>
    </font>
    <font>
      <vertAlign val="subscript"/>
      <sz val="10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center"/>
    </xf>
    <xf numFmtId="182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182" fontId="26" fillId="0" borderId="11" xfId="0" applyNumberFormat="1" applyFont="1" applyBorder="1" applyAlignment="1">
      <alignment/>
    </xf>
    <xf numFmtId="182" fontId="26" fillId="0" borderId="10" xfId="0" applyNumberFormat="1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10" fontId="26" fillId="0" borderId="13" xfId="0" applyNumberFormat="1" applyFont="1" applyBorder="1" applyAlignment="1">
      <alignment/>
    </xf>
    <xf numFmtId="10" fontId="26" fillId="0" borderId="0" xfId="0" applyNumberFormat="1" applyFont="1" applyBorder="1" applyAlignment="1">
      <alignment/>
    </xf>
    <xf numFmtId="0" fontId="26" fillId="0" borderId="14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3" fontId="27" fillId="0" borderId="1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Alignment="1">
      <alignment horizontal="center"/>
    </xf>
    <xf numFmtId="10" fontId="25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0" fillId="0" borderId="18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10" fontId="31" fillId="0" borderId="11" xfId="0" applyNumberFormat="1" applyFont="1" applyBorder="1" applyAlignment="1">
      <alignment/>
    </xf>
    <xf numFmtId="10" fontId="31" fillId="0" borderId="10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26" fillId="0" borderId="0" xfId="0" applyFont="1" applyBorder="1" applyAlignment="1">
      <alignment horizontal="center"/>
    </xf>
    <xf numFmtId="10" fontId="31" fillId="0" borderId="19" xfId="0" applyNumberFormat="1" applyFont="1" applyBorder="1" applyAlignment="1">
      <alignment/>
    </xf>
    <xf numFmtId="10" fontId="31" fillId="0" borderId="20" xfId="0" applyNumberFormat="1" applyFont="1" applyBorder="1" applyAlignment="1">
      <alignment/>
    </xf>
    <xf numFmtId="0" fontId="32" fillId="0" borderId="21" xfId="0" applyFont="1" applyBorder="1" applyAlignment="1">
      <alignment/>
    </xf>
    <xf numFmtId="182" fontId="26" fillId="0" borderId="22" xfId="57" applyNumberFormat="1" applyFont="1" applyBorder="1" applyAlignment="1">
      <alignment/>
    </xf>
    <xf numFmtId="182" fontId="26" fillId="0" borderId="23" xfId="57" applyNumberFormat="1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 horizontal="center"/>
    </xf>
    <xf numFmtId="182" fontId="26" fillId="0" borderId="19" xfId="57" applyNumberFormat="1" applyFont="1" applyBorder="1" applyAlignment="1">
      <alignment/>
    </xf>
    <xf numFmtId="182" fontId="26" fillId="0" borderId="20" xfId="57" applyNumberFormat="1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6" xfId="0" applyFont="1" applyBorder="1" applyAlignment="1">
      <alignment horizontal="center"/>
    </xf>
    <xf numFmtId="3" fontId="30" fillId="0" borderId="27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10" fontId="3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10" fontId="33" fillId="0" borderId="30" xfId="0" applyNumberFormat="1" applyFont="1" applyBorder="1" applyAlignment="1">
      <alignment/>
    </xf>
    <xf numFmtId="10" fontId="33" fillId="0" borderId="10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/>
    </xf>
    <xf numFmtId="0" fontId="26" fillId="0" borderId="20" xfId="0" applyFont="1" applyBorder="1" applyAlignment="1">
      <alignment/>
    </xf>
    <xf numFmtId="0" fontId="33" fillId="0" borderId="21" xfId="0" applyFont="1" applyBorder="1" applyAlignment="1">
      <alignment/>
    </xf>
    <xf numFmtId="10" fontId="26" fillId="0" borderId="34" xfId="0" applyNumberFormat="1" applyFont="1" applyBorder="1" applyAlignment="1">
      <alignment/>
    </xf>
    <xf numFmtId="10" fontId="26" fillId="0" borderId="35" xfId="0" applyNumberFormat="1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3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0" fillId="0" borderId="0" xfId="0" applyFont="1" applyAlignment="1">
      <alignment/>
    </xf>
    <xf numFmtId="10" fontId="7" fillId="0" borderId="0" xfId="57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0" fontId="36" fillId="0" borderId="0" xfId="57" applyNumberFormat="1" applyFont="1" applyBorder="1" applyAlignment="1">
      <alignment/>
    </xf>
    <xf numFmtId="10" fontId="36" fillId="0" borderId="23" xfId="0" applyNumberFormat="1" applyFont="1" applyBorder="1" applyAlignment="1">
      <alignment/>
    </xf>
    <xf numFmtId="0" fontId="30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36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10" fontId="7" fillId="0" borderId="11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0" fontId="30" fillId="0" borderId="1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36" fillId="0" borderId="43" xfId="0" applyFont="1" applyBorder="1" applyAlignment="1">
      <alignment/>
    </xf>
    <xf numFmtId="10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44" xfId="0" applyNumberFormat="1" applyFont="1" applyBorder="1" applyAlignment="1">
      <alignment/>
    </xf>
    <xf numFmtId="0" fontId="34" fillId="0" borderId="12" xfId="0" applyFont="1" applyBorder="1" applyAlignment="1">
      <alignment/>
    </xf>
    <xf numFmtId="0" fontId="7" fillId="0" borderId="25" xfId="0" applyFont="1" applyBorder="1" applyAlignment="1">
      <alignment horizontal="center"/>
    </xf>
    <xf numFmtId="3" fontId="30" fillId="0" borderId="19" xfId="0" applyNumberFormat="1" applyFont="1" applyBorder="1" applyAlignment="1">
      <alignment/>
    </xf>
    <xf numFmtId="3" fontId="30" fillId="0" borderId="26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7" fillId="0" borderId="32" xfId="0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38" fillId="0" borderId="0" xfId="0" applyFont="1" applyAlignment="1">
      <alignment/>
    </xf>
    <xf numFmtId="10" fontId="32" fillId="0" borderId="45" xfId="57" applyNumberFormat="1" applyFont="1" applyBorder="1" applyAlignment="1">
      <alignment/>
    </xf>
    <xf numFmtId="10" fontId="32" fillId="0" borderId="46" xfId="57" applyNumberFormat="1" applyFont="1" applyBorder="1" applyAlignment="1">
      <alignment/>
    </xf>
    <xf numFmtId="3" fontId="32" fillId="0" borderId="46" xfId="0" applyNumberFormat="1" applyFont="1" applyBorder="1" applyAlignment="1">
      <alignment/>
    </xf>
    <xf numFmtId="0" fontId="39" fillId="0" borderId="47" xfId="0" applyFont="1" applyBorder="1" applyAlignment="1">
      <alignment/>
    </xf>
    <xf numFmtId="10" fontId="27" fillId="0" borderId="13" xfId="57" applyNumberFormat="1" applyFont="1" applyBorder="1" applyAlignment="1">
      <alignment/>
    </xf>
    <xf numFmtId="10" fontId="27" fillId="0" borderId="0" xfId="57" applyNumberFormat="1" applyFont="1" applyBorder="1" applyAlignment="1">
      <alignment/>
    </xf>
    <xf numFmtId="0" fontId="27" fillId="0" borderId="14" xfId="0" applyFont="1" applyBorder="1" applyAlignment="1">
      <alignment/>
    </xf>
    <xf numFmtId="3" fontId="27" fillId="0" borderId="48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0" fontId="27" fillId="0" borderId="50" xfId="0" applyFont="1" applyBorder="1" applyAlignment="1">
      <alignment/>
    </xf>
    <xf numFmtId="0" fontId="26" fillId="0" borderId="50" xfId="0" applyFont="1" applyBorder="1" applyAlignment="1">
      <alignment horizontal="center"/>
    </xf>
    <xf numFmtId="3" fontId="26" fillId="0" borderId="13" xfId="0" applyNumberFormat="1" applyFont="1" applyBorder="1" applyAlignment="1">
      <alignment/>
    </xf>
    <xf numFmtId="3" fontId="26" fillId="0" borderId="48" xfId="0" applyNumberFormat="1" applyFont="1" applyBorder="1" applyAlignment="1">
      <alignment/>
    </xf>
    <xf numFmtId="3" fontId="26" fillId="0" borderId="49" xfId="0" applyNumberFormat="1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50" xfId="0" applyFont="1" applyBorder="1" applyAlignment="1">
      <alignment horizontal="center"/>
    </xf>
    <xf numFmtId="3" fontId="26" fillId="0" borderId="1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30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3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0" xfId="0" applyNumberFormat="1" applyAlignment="1">
      <alignment/>
    </xf>
    <xf numFmtId="182" fontId="4" fillId="0" borderId="0" xfId="57" applyNumberFormat="1" applyFont="1" applyAlignment="1">
      <alignment/>
    </xf>
    <xf numFmtId="0" fontId="41" fillId="0" borderId="0" xfId="0" applyFont="1" applyAlignment="1">
      <alignment/>
    </xf>
    <xf numFmtId="10" fontId="42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0" fontId="42" fillId="0" borderId="51" xfId="0" applyNumberFormat="1" applyFont="1" applyBorder="1" applyAlignment="1">
      <alignment/>
    </xf>
    <xf numFmtId="10" fontId="42" fillId="0" borderId="23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5" xfId="0" applyFont="1" applyBorder="1" applyAlignment="1">
      <alignment horizontal="center"/>
    </xf>
    <xf numFmtId="10" fontId="42" fillId="0" borderId="33" xfId="0" applyNumberFormat="1" applyFont="1" applyBorder="1" applyAlignment="1">
      <alignment/>
    </xf>
    <xf numFmtId="10" fontId="42" fillId="0" borderId="20" xfId="0" applyNumberFormat="1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6" xfId="0" applyFont="1" applyBorder="1" applyAlignment="1">
      <alignment horizontal="center"/>
    </xf>
    <xf numFmtId="9" fontId="42" fillId="0" borderId="52" xfId="0" applyNumberFormat="1" applyFont="1" applyBorder="1" applyAlignment="1">
      <alignment/>
    </xf>
    <xf numFmtId="9" fontId="42" fillId="0" borderId="35" xfId="0" applyNumberFormat="1" applyFont="1" applyBorder="1" applyAlignment="1">
      <alignment/>
    </xf>
    <xf numFmtId="0" fontId="42" fillId="0" borderId="35" xfId="0" applyFont="1" applyBorder="1" applyAlignment="1">
      <alignment/>
    </xf>
    <xf numFmtId="0" fontId="41" fillId="0" borderId="37" xfId="0" applyFont="1" applyBorder="1" applyAlignment="1">
      <alignment horizontal="center"/>
    </xf>
    <xf numFmtId="10" fontId="43" fillId="0" borderId="0" xfId="0" applyNumberFormat="1" applyFont="1" applyBorder="1" applyAlignment="1">
      <alignment/>
    </xf>
    <xf numFmtId="0" fontId="41" fillId="0" borderId="32" xfId="0" applyFont="1" applyBorder="1" applyAlignment="1">
      <alignment horizontal="center"/>
    </xf>
    <xf numFmtId="10" fontId="43" fillId="0" borderId="31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33" xfId="0" applyFont="1" applyBorder="1" applyAlignment="1">
      <alignment/>
    </xf>
    <xf numFmtId="0" fontId="43" fillId="0" borderId="20" xfId="0" applyFont="1" applyBorder="1" applyAlignment="1">
      <alignment/>
    </xf>
    <xf numFmtId="10" fontId="41" fillId="0" borderId="52" xfId="0" applyNumberFormat="1" applyFont="1" applyBorder="1" applyAlignment="1">
      <alignment/>
    </xf>
    <xf numFmtId="10" fontId="41" fillId="0" borderId="35" xfId="0" applyNumberFormat="1" applyFont="1" applyBorder="1" applyAlignment="1">
      <alignment/>
    </xf>
    <xf numFmtId="0" fontId="41" fillId="0" borderId="35" xfId="0" applyFont="1" applyBorder="1" applyAlignment="1">
      <alignment/>
    </xf>
    <xf numFmtId="3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10" fontId="4" fillId="0" borderId="0" xfId="57" applyNumberFormat="1" applyFont="1" applyBorder="1" applyAlignment="1">
      <alignment/>
    </xf>
    <xf numFmtId="10" fontId="45" fillId="0" borderId="0" xfId="57" applyNumberFormat="1" applyFont="1" applyBorder="1" applyAlignment="1">
      <alignment/>
    </xf>
    <xf numFmtId="10" fontId="4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5" fillId="0" borderId="0" xfId="0" applyFont="1" applyAlignment="1">
      <alignment/>
    </xf>
    <xf numFmtId="2" fontId="4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0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34" fillId="0" borderId="23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30" fillId="0" borderId="53" xfId="0" applyNumberFormat="1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32" xfId="0" applyFont="1" applyBorder="1" applyAlignment="1">
      <alignment horizontal="center"/>
    </xf>
    <xf numFmtId="10" fontId="32" fillId="0" borderId="52" xfId="57" applyNumberFormat="1" applyFont="1" applyBorder="1" applyAlignment="1">
      <alignment/>
    </xf>
    <xf numFmtId="10" fontId="32" fillId="0" borderId="35" xfId="57" applyNumberFormat="1" applyFont="1" applyBorder="1" applyAlignment="1">
      <alignment/>
    </xf>
    <xf numFmtId="3" fontId="32" fillId="0" borderId="35" xfId="0" applyNumberFormat="1" applyFont="1" applyBorder="1" applyAlignment="1">
      <alignment/>
    </xf>
    <xf numFmtId="0" fontId="39" fillId="0" borderId="35" xfId="0" applyFont="1" applyBorder="1" applyAlignment="1">
      <alignment/>
    </xf>
    <xf numFmtId="10" fontId="27" fillId="0" borderId="51" xfId="57" applyNumberFormat="1" applyFont="1" applyBorder="1" applyAlignment="1">
      <alignment/>
    </xf>
    <xf numFmtId="10" fontId="27" fillId="0" borderId="23" xfId="57" applyNumberFormat="1" applyFont="1" applyBorder="1" applyAlignment="1">
      <alignment/>
    </xf>
    <xf numFmtId="0" fontId="27" fillId="0" borderId="23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3" fontId="30" fillId="0" borderId="54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28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0" fontId="7" fillId="0" borderId="48" xfId="0" applyNumberFormat="1" applyFont="1" applyBorder="1" applyAlignment="1">
      <alignment/>
    </xf>
    <xf numFmtId="10" fontId="7" fillId="0" borderId="49" xfId="0" applyNumberFormat="1" applyFont="1" applyBorder="1" applyAlignment="1">
      <alignment/>
    </xf>
    <xf numFmtId="9" fontId="7" fillId="0" borderId="13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88" fontId="7" fillId="0" borderId="13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9" fontId="7" fillId="0" borderId="13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90" fontId="7" fillId="0" borderId="11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10" fontId="30" fillId="0" borderId="11" xfId="0" applyNumberFormat="1" applyFont="1" applyBorder="1" applyAlignment="1">
      <alignment/>
    </xf>
    <xf numFmtId="10" fontId="30" fillId="0" borderId="10" xfId="0" applyNumberFormat="1" applyFont="1" applyBorder="1" applyAlignment="1">
      <alignment/>
    </xf>
    <xf numFmtId="10" fontId="30" fillId="0" borderId="0" xfId="0" applyNumberFormat="1" applyFont="1" applyBorder="1" applyAlignment="1">
      <alignment/>
    </xf>
    <xf numFmtId="9" fontId="30" fillId="0" borderId="55" xfId="0" applyNumberFormat="1" applyFont="1" applyBorder="1" applyAlignment="1">
      <alignment/>
    </xf>
    <xf numFmtId="9" fontId="30" fillId="0" borderId="56" xfId="0" applyNumberFormat="1" applyFont="1" applyBorder="1" applyAlignment="1">
      <alignment/>
    </xf>
    <xf numFmtId="0" fontId="30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47" fillId="0" borderId="0" xfId="0" applyFont="1" applyAlignment="1">
      <alignment/>
    </xf>
    <xf numFmtId="182" fontId="7" fillId="0" borderId="11" xfId="57" applyNumberFormat="1" applyFont="1" applyBorder="1" applyAlignment="1">
      <alignment/>
    </xf>
    <xf numFmtId="182" fontId="7" fillId="0" borderId="10" xfId="57" applyNumberFormat="1" applyFont="1" applyBorder="1" applyAlignment="1">
      <alignment/>
    </xf>
    <xf numFmtId="182" fontId="7" fillId="0" borderId="19" xfId="57" applyNumberFormat="1" applyFont="1" applyBorder="1" applyAlignment="1">
      <alignment/>
    </xf>
    <xf numFmtId="182" fontId="7" fillId="0" borderId="20" xfId="57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25" fillId="0" borderId="13" xfId="0" applyFont="1" applyBorder="1" applyAlignment="1">
      <alignment/>
    </xf>
    <xf numFmtId="190" fontId="26" fillId="0" borderId="34" xfId="0" applyNumberFormat="1" applyFont="1" applyBorder="1" applyAlignment="1">
      <alignment/>
    </xf>
    <xf numFmtId="190" fontId="26" fillId="0" borderId="35" xfId="0" applyNumberFormat="1" applyFont="1" applyBorder="1" applyAlignment="1">
      <alignment/>
    </xf>
    <xf numFmtId="190" fontId="27" fillId="0" borderId="35" xfId="0" applyNumberFormat="1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 horizontal="center"/>
    </xf>
    <xf numFmtId="10" fontId="27" fillId="0" borderId="22" xfId="0" applyNumberFormat="1" applyFont="1" applyBorder="1" applyAlignment="1">
      <alignment/>
    </xf>
    <xf numFmtId="10" fontId="27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10" fontId="27" fillId="0" borderId="19" xfId="0" applyNumberFormat="1" applyFont="1" applyBorder="1" applyAlignment="1">
      <alignment/>
    </xf>
    <xf numFmtId="10" fontId="27" fillId="0" borderId="20" xfId="0" applyNumberFormat="1" applyFont="1" applyBorder="1" applyAlignment="1">
      <alignment/>
    </xf>
    <xf numFmtId="9" fontId="27" fillId="0" borderId="34" xfId="0" applyNumberFormat="1" applyFont="1" applyBorder="1" applyAlignment="1">
      <alignment/>
    </xf>
    <xf numFmtId="9" fontId="27" fillId="0" borderId="35" xfId="0" applyNumberFormat="1" applyFont="1" applyBorder="1" applyAlignment="1">
      <alignment/>
    </xf>
    <xf numFmtId="0" fontId="27" fillId="0" borderId="35" xfId="0" applyFont="1" applyBorder="1" applyAlignment="1">
      <alignment/>
    </xf>
    <xf numFmtId="0" fontId="26" fillId="0" borderId="19" xfId="0" applyFont="1" applyBorder="1" applyAlignment="1">
      <alignment/>
    </xf>
    <xf numFmtId="0" fontId="33" fillId="0" borderId="20" xfId="0" applyFont="1" applyBorder="1" applyAlignment="1">
      <alignment/>
    </xf>
    <xf numFmtId="10" fontId="7" fillId="0" borderId="13" xfId="57" applyNumberFormat="1" applyFont="1" applyBorder="1" applyAlignment="1">
      <alignment/>
    </xf>
    <xf numFmtId="10" fontId="36" fillId="0" borderId="13" xfId="57" applyNumberFormat="1" applyFont="1" applyBorder="1" applyAlignment="1">
      <alignment/>
    </xf>
    <xf numFmtId="10" fontId="36" fillId="0" borderId="22" xfId="0" applyNumberFormat="1" applyFont="1" applyBorder="1" applyAlignment="1">
      <alignment/>
    </xf>
    <xf numFmtId="0" fontId="36" fillId="0" borderId="0" xfId="0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30" fillId="0" borderId="23" xfId="0" applyNumberFormat="1" applyFont="1" applyBorder="1" applyAlignment="1">
      <alignment/>
    </xf>
    <xf numFmtId="10" fontId="7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10" fontId="32" fillId="0" borderId="34" xfId="57" applyNumberFormat="1" applyFont="1" applyBorder="1" applyAlignment="1">
      <alignment/>
    </xf>
    <xf numFmtId="0" fontId="27" fillId="0" borderId="0" xfId="0" applyFont="1" applyBorder="1" applyAlignment="1">
      <alignment/>
    </xf>
    <xf numFmtId="10" fontId="26" fillId="0" borderId="48" xfId="0" applyNumberFormat="1" applyFont="1" applyBorder="1" applyAlignment="1">
      <alignment/>
    </xf>
    <xf numFmtId="10" fontId="26" fillId="0" borderId="49" xfId="0" applyNumberFormat="1" applyFont="1" applyBorder="1" applyAlignment="1">
      <alignment/>
    </xf>
    <xf numFmtId="0" fontId="26" fillId="0" borderId="49" xfId="0" applyFont="1" applyBorder="1" applyAlignment="1">
      <alignment/>
    </xf>
    <xf numFmtId="10" fontId="26" fillId="0" borderId="11" xfId="0" applyNumberFormat="1" applyFont="1" applyBorder="1" applyAlignment="1">
      <alignment/>
    </xf>
    <xf numFmtId="10" fontId="26" fillId="0" borderId="10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9" fontId="26" fillId="0" borderId="13" xfId="0" applyNumberFormat="1" applyFont="1" applyBorder="1" applyAlignment="1">
      <alignment/>
    </xf>
    <xf numFmtId="9" fontId="26" fillId="0" borderId="0" xfId="0" applyNumberFormat="1" applyFont="1" applyBorder="1" applyAlignment="1">
      <alignment/>
    </xf>
    <xf numFmtId="188" fontId="26" fillId="0" borderId="13" xfId="0" applyNumberFormat="1" applyFont="1" applyBorder="1" applyAlignment="1">
      <alignment/>
    </xf>
    <xf numFmtId="188" fontId="26" fillId="0" borderId="0" xfId="0" applyNumberFormat="1" applyFont="1" applyBorder="1" applyAlignment="1">
      <alignment/>
    </xf>
    <xf numFmtId="189" fontId="26" fillId="0" borderId="13" xfId="0" applyNumberFormat="1" applyFont="1" applyBorder="1" applyAlignment="1">
      <alignment/>
    </xf>
    <xf numFmtId="189" fontId="26" fillId="0" borderId="0" xfId="0" applyNumberFormat="1" applyFont="1" applyBorder="1" applyAlignment="1">
      <alignment/>
    </xf>
    <xf numFmtId="188" fontId="26" fillId="0" borderId="11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188" fontId="27" fillId="0" borderId="10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10" fontId="27" fillId="0" borderId="11" xfId="0" applyNumberFormat="1" applyFont="1" applyBorder="1" applyAlignment="1">
      <alignment/>
    </xf>
    <xf numFmtId="10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0" fontId="27" fillId="0" borderId="13" xfId="0" applyNumberFormat="1" applyFont="1" applyBorder="1" applyAlignment="1">
      <alignment/>
    </xf>
    <xf numFmtId="10" fontId="27" fillId="0" borderId="0" xfId="0" applyNumberFormat="1" applyFont="1" applyBorder="1" applyAlignment="1">
      <alignment/>
    </xf>
    <xf numFmtId="9" fontId="27" fillId="0" borderId="55" xfId="0" applyNumberFormat="1" applyFont="1" applyBorder="1" applyAlignment="1">
      <alignment/>
    </xf>
    <xf numFmtId="9" fontId="27" fillId="0" borderId="56" xfId="0" applyNumberFormat="1" applyFont="1" applyBorder="1" applyAlignment="1">
      <alignment/>
    </xf>
    <xf numFmtId="0" fontId="27" fillId="0" borderId="56" xfId="0" applyFont="1" applyBorder="1" applyAlignment="1">
      <alignment/>
    </xf>
    <xf numFmtId="0" fontId="26" fillId="0" borderId="57" xfId="0" applyFont="1" applyBorder="1" applyAlignment="1">
      <alignment horizontal="center"/>
    </xf>
    <xf numFmtId="0" fontId="49" fillId="0" borderId="0" xfId="0" applyFont="1" applyAlignment="1">
      <alignment/>
    </xf>
    <xf numFmtId="10" fontId="4" fillId="0" borderId="0" xfId="57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9" fontId="4" fillId="0" borderId="0" xfId="57" applyFont="1" applyBorder="1" applyAlignment="1">
      <alignment/>
    </xf>
    <xf numFmtId="10" fontId="30" fillId="0" borderId="58" xfId="57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10" fontId="7" fillId="0" borderId="58" xfId="57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9" fontId="7" fillId="0" borderId="25" xfId="57" applyFont="1" applyBorder="1" applyAlignment="1">
      <alignment/>
    </xf>
    <xf numFmtId="3" fontId="30" fillId="0" borderId="58" xfId="0" applyNumberFormat="1" applyFont="1" applyBorder="1" applyAlignment="1">
      <alignment/>
    </xf>
    <xf numFmtId="10" fontId="30" fillId="0" borderId="58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8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59" xfId="0" applyFont="1" applyBorder="1" applyAlignment="1">
      <alignment horizontal="center"/>
    </xf>
    <xf numFmtId="0" fontId="7" fillId="0" borderId="59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5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30" fillId="0" borderId="49" xfId="0" applyFont="1" applyBorder="1" applyAlignment="1">
      <alignment/>
    </xf>
    <xf numFmtId="0" fontId="7" fillId="0" borderId="50" xfId="0" applyFont="1" applyBorder="1" applyAlignment="1">
      <alignment/>
    </xf>
    <xf numFmtId="9" fontId="7" fillId="0" borderId="58" xfId="57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5" fillId="0" borderId="49" xfId="0" applyFont="1" applyBorder="1" applyAlignment="1">
      <alignment/>
    </xf>
    <xf numFmtId="0" fontId="4" fillId="0" borderId="5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3" fontId="56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0" fontId="56" fillId="0" borderId="0" xfId="57" applyNumberFormat="1" applyFont="1" applyAlignment="1">
      <alignment/>
    </xf>
    <xf numFmtId="181" fontId="55" fillId="0" borderId="0" xfId="57" applyNumberFormat="1" applyFont="1" applyAlignment="1">
      <alignment/>
    </xf>
    <xf numFmtId="10" fontId="56" fillId="0" borderId="0" xfId="0" applyNumberFormat="1" applyFont="1" applyAlignment="1">
      <alignment/>
    </xf>
    <xf numFmtId="9" fontId="55" fillId="0" borderId="0" xfId="0" applyNumberFormat="1" applyFont="1" applyAlignment="1">
      <alignment/>
    </xf>
    <xf numFmtId="10" fontId="55" fillId="0" borderId="0" xfId="57" applyNumberFormat="1" applyFont="1" applyAlignment="1">
      <alignment/>
    </xf>
    <xf numFmtId="9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83" fontId="55" fillId="0" borderId="51" xfId="0" applyNumberFormat="1" applyFont="1" applyBorder="1" applyAlignment="1">
      <alignment/>
    </xf>
    <xf numFmtId="183" fontId="55" fillId="0" borderId="23" xfId="0" applyNumberFormat="1" applyFont="1" applyBorder="1" applyAlignment="1">
      <alignment/>
    </xf>
    <xf numFmtId="0" fontId="55" fillId="0" borderId="23" xfId="0" applyFont="1" applyBorder="1" applyAlignment="1">
      <alignment/>
    </xf>
    <xf numFmtId="0" fontId="56" fillId="0" borderId="25" xfId="0" applyFont="1" applyBorder="1" applyAlignment="1">
      <alignment/>
    </xf>
    <xf numFmtId="183" fontId="55" fillId="0" borderId="31" xfId="0" applyNumberFormat="1" applyFont="1" applyBorder="1" applyAlignment="1">
      <alignment/>
    </xf>
    <xf numFmtId="18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32" xfId="0" applyFont="1" applyBorder="1" applyAlignment="1">
      <alignment/>
    </xf>
    <xf numFmtId="9" fontId="56" fillId="0" borderId="48" xfId="0" applyNumberFormat="1" applyFont="1" applyBorder="1" applyAlignment="1">
      <alignment/>
    </xf>
    <xf numFmtId="9" fontId="56" fillId="0" borderId="49" xfId="0" applyNumberFormat="1" applyFont="1" applyBorder="1" applyAlignment="1">
      <alignment/>
    </xf>
    <xf numFmtId="1" fontId="56" fillId="0" borderId="50" xfId="43" applyNumberFormat="1" applyFont="1" applyBorder="1" applyAlignment="1">
      <alignment horizontal="center"/>
    </xf>
    <xf numFmtId="3" fontId="56" fillId="0" borderId="51" xfId="0" applyNumberFormat="1" applyFont="1" applyBorder="1" applyAlignment="1">
      <alignment/>
    </xf>
    <xf numFmtId="3" fontId="56" fillId="0" borderId="23" xfId="0" applyNumberFormat="1" applyFont="1" applyBorder="1" applyAlignment="1">
      <alignment/>
    </xf>
    <xf numFmtId="0" fontId="56" fillId="0" borderId="23" xfId="0" applyFont="1" applyBorder="1" applyAlignment="1">
      <alignment/>
    </xf>
    <xf numFmtId="1" fontId="56" fillId="0" borderId="58" xfId="0" applyNumberFormat="1" applyFont="1" applyBorder="1" applyAlignment="1">
      <alignment horizontal="center"/>
    </xf>
    <xf numFmtId="3" fontId="56" fillId="0" borderId="31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 vertical="center"/>
    </xf>
    <xf numFmtId="1" fontId="56" fillId="0" borderId="59" xfId="0" applyNumberFormat="1" applyFont="1" applyBorder="1" applyAlignment="1">
      <alignment horizontal="center"/>
    </xf>
    <xf numFmtId="3" fontId="55" fillId="0" borderId="31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10" fontId="56" fillId="0" borderId="31" xfId="57" applyNumberFormat="1" applyFont="1" applyBorder="1" applyAlignment="1">
      <alignment/>
    </xf>
    <xf numFmtId="10" fontId="56" fillId="0" borderId="0" xfId="57" applyNumberFormat="1" applyFont="1" applyBorder="1" applyAlignment="1">
      <alignment/>
    </xf>
    <xf numFmtId="0" fontId="56" fillId="0" borderId="0" xfId="0" applyFont="1" applyBorder="1" applyAlignment="1">
      <alignment/>
    </xf>
    <xf numFmtId="181" fontId="55" fillId="0" borderId="31" xfId="57" applyNumberFormat="1" applyFont="1" applyBorder="1" applyAlignment="1">
      <alignment/>
    </xf>
    <xf numFmtId="181" fontId="55" fillId="0" borderId="0" xfId="57" applyNumberFormat="1" applyFont="1" applyBorder="1" applyAlignment="1">
      <alignment/>
    </xf>
    <xf numFmtId="189" fontId="55" fillId="0" borderId="31" xfId="0" applyNumberFormat="1" applyFont="1" applyBorder="1" applyAlignment="1">
      <alignment/>
    </xf>
    <xf numFmtId="189" fontId="55" fillId="0" borderId="0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1" fontId="56" fillId="0" borderId="28" xfId="0" applyNumberFormat="1" applyFont="1" applyBorder="1" applyAlignment="1">
      <alignment horizontal="center"/>
    </xf>
    <xf numFmtId="10" fontId="55" fillId="0" borderId="51" xfId="57" applyNumberFormat="1" applyFont="1" applyBorder="1" applyAlignment="1">
      <alignment/>
    </xf>
    <xf numFmtId="10" fontId="55" fillId="0" borderId="23" xfId="57" applyNumberFormat="1" applyFont="1" applyBorder="1" applyAlignment="1">
      <alignment/>
    </xf>
    <xf numFmtId="0" fontId="55" fillId="0" borderId="31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59" xfId="0" applyFont="1" applyBorder="1" applyAlignment="1">
      <alignment horizontal="center"/>
    </xf>
    <xf numFmtId="0" fontId="55" fillId="0" borderId="51" xfId="0" applyFont="1" applyBorder="1" applyAlignment="1">
      <alignment/>
    </xf>
    <xf numFmtId="10" fontId="55" fillId="0" borderId="31" xfId="0" applyNumberFormat="1" applyFont="1" applyBorder="1" applyAlignment="1">
      <alignment/>
    </xf>
    <xf numFmtId="10" fontId="55" fillId="0" borderId="0" xfId="0" applyNumberFormat="1" applyFont="1" applyBorder="1" applyAlignment="1">
      <alignment/>
    </xf>
    <xf numFmtId="9" fontId="55" fillId="0" borderId="0" xfId="0" applyNumberFormat="1" applyFont="1" applyBorder="1" applyAlignment="1">
      <alignment/>
    </xf>
    <xf numFmtId="10" fontId="55" fillId="0" borderId="0" xfId="57" applyNumberFormat="1" applyFont="1" applyBorder="1" applyAlignment="1">
      <alignment/>
    </xf>
    <xf numFmtId="9" fontId="55" fillId="0" borderId="31" xfId="0" applyNumberFormat="1" applyFont="1" applyBorder="1" applyAlignment="1">
      <alignment/>
    </xf>
    <xf numFmtId="1" fontId="56" fillId="0" borderId="40" xfId="43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25"/>
          <c:w val="0.91375"/>
          <c:h val="0.86875"/>
        </c:manualLayout>
      </c:layout>
      <c:lineChart>
        <c:grouping val="standard"/>
        <c:varyColors val="0"/>
        <c:ser>
          <c:idx val="1"/>
          <c:order val="0"/>
          <c:tx>
            <c:strRef>
              <c:f>'Tabla 1'!$B$35</c:f>
              <c:strCache>
                <c:ptCount val="1"/>
                <c:pt idx="0">
                  <c:v>WACC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1'!$C$3:$H$3</c:f>
            </c:numRef>
          </c:cat>
          <c:val>
            <c:numRef>
              <c:f>'Tabla 1'!$C$35:$H$35</c:f>
              <c:numCache/>
            </c:numRef>
          </c:val>
          <c:smooth val="0"/>
        </c:ser>
        <c:marker val="1"/>
        <c:axId val="25974504"/>
        <c:axId val="10621161"/>
      </c:lineChart>
      <c:lineChart>
        <c:grouping val="standard"/>
        <c:varyColors val="0"/>
        <c:ser>
          <c:idx val="0"/>
          <c:order val="1"/>
          <c:tx>
            <c:strRef>
              <c:f>'Tabla 1'!$B$34</c:f>
              <c:strCache>
                <c:ptCount val="1"/>
                <c:pt idx="0">
                  <c:v>D+E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1'!$C$3:$H$3</c:f>
            </c:numRef>
          </c:cat>
          <c:val>
            <c:numRef>
              <c:f>'Tabla 1'!$C$34:$H$34</c:f>
              <c:numCache/>
            </c:numRef>
          </c:val>
          <c:smooth val="0"/>
        </c:ser>
        <c:marker val="1"/>
        <c:axId val="19286826"/>
        <c:axId val="45684139"/>
      </c:lineChart>
      <c:catAx>
        <c:axId val="2597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Endeudamiento (valor contable)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21161"/>
        <c:crosses val="autoZero"/>
        <c:auto val="0"/>
        <c:lblOffset val="100"/>
        <c:tickLblSkip val="1"/>
        <c:noMultiLvlLbl val="0"/>
      </c:catAx>
      <c:valAx>
        <c:axId val="10621161"/>
        <c:scaling>
          <c:orientation val="minMax"/>
          <c:max val="0.12"/>
          <c:min val="0.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WACC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74504"/>
        <c:crossesAt val="1"/>
        <c:crossBetween val="midCat"/>
        <c:dispUnits/>
        <c:majorUnit val="0.002"/>
        <c:minorUnit val="2.4E-05"/>
      </c:valAx>
      <c:catAx>
        <c:axId val="192868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684139"/>
        <c:crosses val="autoZero"/>
        <c:auto val="0"/>
        <c:lblOffset val="100"/>
        <c:tickLblSkip val="1"/>
        <c:noMultiLvlLbl val="0"/>
      </c:catAx>
      <c:valAx>
        <c:axId val="45684139"/>
        <c:scaling>
          <c:orientation val="minMax"/>
          <c:max val="550000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D+E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86826"/>
        <c:crosses val="max"/>
        <c:crossBetween val="midCat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25"/>
          <c:y val="0.025"/>
          <c:w val="0.127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2775"/>
          <c:h val="0.91425"/>
        </c:manualLayout>
      </c:layout>
      <c:lineChart>
        <c:grouping val="standard"/>
        <c:varyColors val="0"/>
        <c:ser>
          <c:idx val="1"/>
          <c:order val="0"/>
          <c:tx>
            <c:strRef>
              <c:f>'Tabla 1'!$B$35</c:f>
              <c:strCache>
                <c:ptCount val="1"/>
                <c:pt idx="0">
                  <c:v>WACC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1'!$C$3:$H$3</c:f>
            </c:numRef>
          </c:cat>
          <c:val>
            <c:numRef>
              <c:f>'Tabla 1'!$C$35:$H$35</c:f>
              <c:numCache/>
            </c:numRef>
          </c:val>
          <c:smooth val="0"/>
        </c:ser>
        <c:marker val="1"/>
        <c:axId val="16679020"/>
        <c:axId val="10394477"/>
      </c:lineChart>
      <c:lineChart>
        <c:grouping val="standard"/>
        <c:varyColors val="0"/>
        <c:ser>
          <c:idx val="0"/>
          <c:order val="1"/>
          <c:tx>
            <c:strRef>
              <c:f>'Tabla 1'!$B$36</c:f>
              <c:strCache>
                <c:ptCount val="1"/>
                <c:pt idx="0">
                  <c:v>P (precio de la acción)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1'!$C$3:$H$3</c:f>
            </c:numRef>
          </c:cat>
          <c:val>
            <c:numRef>
              <c:f>'Tabla 1'!$C$36:$H$36</c:f>
              <c:numCache/>
            </c:numRef>
          </c:val>
          <c:smooth val="0"/>
        </c:ser>
        <c:marker val="1"/>
        <c:axId val="4552366"/>
        <c:axId val="27468335"/>
      </c:lineChart>
      <c:catAx>
        <c:axId val="1667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Endeudamiento (valor contable)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94477"/>
        <c:crosses val="autoZero"/>
        <c:auto val="0"/>
        <c:lblOffset val="100"/>
        <c:tickLblSkip val="1"/>
        <c:noMultiLvlLbl val="0"/>
      </c:catAx>
      <c:valAx>
        <c:axId val="10394477"/>
        <c:scaling>
          <c:orientation val="minMax"/>
          <c:max val="0.12"/>
          <c:min val="0.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WACC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020"/>
        <c:crossesAt val="1"/>
        <c:crossBetween val="midCat"/>
        <c:dispUnits/>
        <c:majorUnit val="0.002"/>
        <c:minorUnit val="2.4E-05"/>
      </c:valAx>
      <c:catAx>
        <c:axId val="4552366"/>
        <c:scaling>
          <c:orientation val="minMax"/>
        </c:scaling>
        <c:axPos val="b"/>
        <c:delete val="1"/>
        <c:majorTickMark val="out"/>
        <c:minorTickMark val="none"/>
        <c:tickLblPos val="nextTo"/>
        <c:crossAx val="27468335"/>
        <c:crosses val="autoZero"/>
        <c:auto val="0"/>
        <c:lblOffset val="100"/>
        <c:tickLblSkip val="1"/>
        <c:noMultiLvlLbl val="0"/>
      </c:catAx>
      <c:valAx>
        <c:axId val="27468335"/>
        <c:scaling>
          <c:orientation val="minMax"/>
          <c:max val="1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2366"/>
        <c:crosses val="max"/>
        <c:crossBetween val="midCat"/>
        <c:dispUnits/>
        <c:majorUnit val="2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25"/>
          <c:y val="0.02275"/>
          <c:w val="0.232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6375"/>
          <c:w val="0.978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D+E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Boeing!$B$7:$B$16</c:f>
              <c:numCache/>
            </c:numRef>
          </c:xVal>
          <c:yVal>
            <c:numRef>
              <c:f>Boeing!$C$7:$C$16</c:f>
              <c:numCache/>
            </c:numRef>
          </c:yVal>
          <c:smooth val="1"/>
        </c:ser>
        <c:ser>
          <c:idx val="1"/>
          <c:order val="1"/>
          <c:tx>
            <c:v>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Boeing!$B$7:$B$16</c:f>
              <c:numCache/>
            </c:numRef>
          </c:xVal>
          <c:yVal>
            <c:numRef>
              <c:f>Boeing!$D$7:$D$16</c:f>
              <c:numCache/>
            </c:numRef>
          </c:yVal>
          <c:smooth val="1"/>
        </c:ser>
        <c:ser>
          <c:idx val="2"/>
          <c:order val="2"/>
          <c:tx>
            <c:v>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Boeing!$B$7:$B$16</c:f>
              <c:numCache/>
            </c:numRef>
          </c:xVal>
          <c:yVal>
            <c:numRef>
              <c:f>Boeing!$E$7:$E$16</c:f>
              <c:numCache/>
            </c:numRef>
          </c:yVal>
          <c:smooth val="1"/>
        </c:ser>
        <c:axId val="40611312"/>
        <c:axId val="22489585"/>
      </c:scatterChart>
      <c:valAx>
        <c:axId val="40611312"/>
        <c:scaling>
          <c:orientation val="minMax"/>
          <c:max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 / (D + E)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89585"/>
        <c:crosses val="autoZero"/>
        <c:crossBetween val="midCat"/>
        <c:dispUnits/>
      </c:valAx>
      <c:valAx>
        <c:axId val="22489585"/>
        <c:scaling>
          <c:orientation val="minMax"/>
          <c:max val="20000"/>
          <c:min val="-50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11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75"/>
          <c:y val="0.00625"/>
          <c:w val="0.529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375"/>
          <c:w val="0.94325"/>
          <c:h val="0.8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'12y13'!$B$7</c:f>
              <c:strCache>
                <c:ptCount val="1"/>
                <c:pt idx="0">
                  <c:v>Kd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'12y13'!$C$28:$L$28</c:f>
              <c:numCache/>
            </c:numRef>
          </c:xVal>
          <c:yVal>
            <c:numRef>
              <c:f>'12y13'!$C$7:$L$7</c:f>
              <c:numCache/>
            </c:numRef>
          </c:yVal>
          <c:smooth val="1"/>
        </c:ser>
        <c:ser>
          <c:idx val="1"/>
          <c:order val="1"/>
          <c:tx>
            <c:strRef>
              <c:f>'12y13'!$B$33</c:f>
              <c:strCache>
                <c:ptCount val="1"/>
                <c:pt idx="0">
                  <c:v>WACCc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'12y13'!$C$28:$L$28</c:f>
              <c:numCache/>
            </c:numRef>
          </c:xVal>
          <c:yVal>
            <c:numRef>
              <c:f>'12y13'!$C$33:$L$33</c:f>
              <c:numCache/>
            </c:numRef>
          </c:yVal>
          <c:smooth val="1"/>
        </c:ser>
        <c:ser>
          <c:idx val="2"/>
          <c:order val="2"/>
          <c:tx>
            <c:strRef>
              <c:f>'12y13'!$B$32</c:f>
              <c:strCache>
                <c:ptCount val="1"/>
                <c:pt idx="0">
                  <c:v>Ke' (con valor contable)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'12y13'!$C$28:$L$28</c:f>
              <c:numCache/>
            </c:numRef>
          </c:xVal>
          <c:yVal>
            <c:numRef>
              <c:f>'12y13'!$C$32:$L$32</c:f>
              <c:numCache/>
            </c:numRef>
          </c:yVal>
          <c:smooth val="1"/>
        </c:ser>
        <c:axId val="52536882"/>
        <c:axId val="59454131"/>
      </c:scatterChart>
      <c:valAx>
        <c:axId val="52536882"/>
        <c:scaling>
          <c:orientation val="minMax"/>
          <c:max val="0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 / (D + E)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4131"/>
        <c:crosses val="autoZero"/>
        <c:crossBetween val="midCat"/>
        <c:dispUnits/>
      </c:valAx>
      <c:valAx>
        <c:axId val="59454131"/>
        <c:scaling>
          <c:orientation val="minMax"/>
          <c:max val="0.3"/>
          <c:min val="0.0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368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00425"/>
          <c:w val="0.321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47625</xdr:rowOff>
    </xdr:from>
    <xdr:to>
      <xdr:col>6</xdr:col>
      <xdr:colOff>457200</xdr:colOff>
      <xdr:row>47</xdr:row>
      <xdr:rowOff>38100</xdr:rowOff>
    </xdr:to>
    <xdr:graphicFrame>
      <xdr:nvGraphicFramePr>
        <xdr:cNvPr id="1" name="Chart 3"/>
        <xdr:cNvGraphicFramePr/>
      </xdr:nvGraphicFramePr>
      <xdr:xfrm>
        <a:off x="219075" y="5943600"/>
        <a:ext cx="61531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47</xdr:row>
      <xdr:rowOff>95250</xdr:rowOff>
    </xdr:from>
    <xdr:to>
      <xdr:col>6</xdr:col>
      <xdr:colOff>466725</xdr:colOff>
      <xdr:row>58</xdr:row>
      <xdr:rowOff>66675</xdr:rowOff>
    </xdr:to>
    <xdr:graphicFrame>
      <xdr:nvGraphicFramePr>
        <xdr:cNvPr id="2" name="Chart 4"/>
        <xdr:cNvGraphicFramePr/>
      </xdr:nvGraphicFramePr>
      <xdr:xfrm>
        <a:off x="285750" y="7610475"/>
        <a:ext cx="609600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76200</xdr:rowOff>
    </xdr:from>
    <xdr:to>
      <xdr:col>8</xdr:col>
      <xdr:colOff>400050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914400" y="3209925"/>
        <a:ext cx="535305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39</xdr:row>
      <xdr:rowOff>76200</xdr:rowOff>
    </xdr:from>
    <xdr:to>
      <xdr:col>11</xdr:col>
      <xdr:colOff>371475</xdr:colOff>
      <xdr:row>53</xdr:row>
      <xdr:rowOff>104775</xdr:rowOff>
    </xdr:to>
    <xdr:graphicFrame>
      <xdr:nvGraphicFramePr>
        <xdr:cNvPr id="1" name="Chart 13"/>
        <xdr:cNvGraphicFramePr/>
      </xdr:nvGraphicFramePr>
      <xdr:xfrm>
        <a:off x="657225" y="6534150"/>
        <a:ext cx="55816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ySplit="4650" topLeftCell="A37" activePane="bottomLeft" state="split"/>
      <selection pane="topLeft" activeCell="L10" sqref="L10"/>
      <selection pane="bottomLeft" activeCell="I42" sqref="I42"/>
    </sheetView>
  </sheetViews>
  <sheetFormatPr defaultColWidth="12.375" defaultRowHeight="12.75"/>
  <cols>
    <col min="1" max="1" width="2.875" style="14" customWidth="1"/>
    <col min="2" max="2" width="38.75390625" style="0" customWidth="1"/>
    <col min="3" max="8" width="9.00390625" style="0" customWidth="1"/>
    <col min="9" max="9" width="7.125" style="0" customWidth="1"/>
  </cols>
  <sheetData>
    <row r="1" spans="1:8" ht="12.75">
      <c r="A1" s="20" t="s">
        <v>1</v>
      </c>
      <c r="B1" s="1"/>
      <c r="C1" s="1"/>
      <c r="D1" s="1"/>
      <c r="E1" s="1"/>
      <c r="F1" s="1"/>
      <c r="G1" s="1"/>
      <c r="H1" s="1"/>
    </row>
    <row r="2" spans="2:8" ht="12.75">
      <c r="B2" s="1" t="s">
        <v>2</v>
      </c>
      <c r="C2" s="1"/>
      <c r="D2" s="1"/>
      <c r="E2" s="1"/>
      <c r="F2" s="1"/>
      <c r="G2" s="1"/>
      <c r="H2" s="1"/>
    </row>
    <row r="3" spans="3:8" ht="12.75" hidden="1">
      <c r="C3" s="2">
        <v>0</v>
      </c>
      <c r="D3" s="2">
        <v>0.1</v>
      </c>
      <c r="E3" s="2">
        <v>0.2</v>
      </c>
      <c r="F3" s="2">
        <v>0.3</v>
      </c>
      <c r="G3" s="2">
        <v>0.4</v>
      </c>
      <c r="H3" s="2">
        <v>0.5</v>
      </c>
    </row>
    <row r="4" spans="1:8" s="19" customFormat="1" ht="12.75">
      <c r="A4" s="18">
        <v>1</v>
      </c>
      <c r="B4" s="7" t="s">
        <v>0</v>
      </c>
      <c r="C4" s="22">
        <v>0</v>
      </c>
      <c r="D4" s="22">
        <v>0.1</v>
      </c>
      <c r="E4" s="22">
        <v>0.2</v>
      </c>
      <c r="F4" s="22">
        <v>0.3</v>
      </c>
      <c r="G4" s="22">
        <v>0.4</v>
      </c>
      <c r="H4" s="22">
        <v>0.5</v>
      </c>
    </row>
    <row r="5" spans="1:8" ht="12.75">
      <c r="A5" s="14">
        <v>2</v>
      </c>
      <c r="B5" s="1" t="s">
        <v>3</v>
      </c>
      <c r="C5" s="3">
        <v>120000</v>
      </c>
      <c r="D5" s="3">
        <v>120000</v>
      </c>
      <c r="E5" s="3">
        <v>120000</v>
      </c>
      <c r="F5" s="3">
        <v>120000</v>
      </c>
      <c r="G5" s="3">
        <v>120000</v>
      </c>
      <c r="H5" s="3">
        <v>120000</v>
      </c>
    </row>
    <row r="6" spans="1:8" ht="12.75">
      <c r="A6" s="14">
        <v>3</v>
      </c>
      <c r="B6" s="1" t="s">
        <v>4</v>
      </c>
      <c r="C6" s="3">
        <f aca="true" t="shared" si="0" ref="C6:H6">C12*C17</f>
        <v>0</v>
      </c>
      <c r="D6" s="3">
        <f t="shared" si="0"/>
        <v>4125</v>
      </c>
      <c r="E6" s="3">
        <f t="shared" si="0"/>
        <v>8750</v>
      </c>
      <c r="F6" s="3">
        <f t="shared" si="0"/>
        <v>14625</v>
      </c>
      <c r="G6" s="3">
        <f t="shared" si="0"/>
        <v>22000</v>
      </c>
      <c r="H6" s="3">
        <f t="shared" si="0"/>
        <v>31250</v>
      </c>
    </row>
    <row r="7" spans="1:8" ht="12.75">
      <c r="A7" s="14">
        <v>4</v>
      </c>
      <c r="B7" s="1" t="s">
        <v>5</v>
      </c>
      <c r="C7" s="3">
        <f aca="true" t="shared" si="1" ref="C7:H7">C5-C6</f>
        <v>120000</v>
      </c>
      <c r="D7" s="3">
        <f t="shared" si="1"/>
        <v>115875</v>
      </c>
      <c r="E7" s="3">
        <f t="shared" si="1"/>
        <v>111250</v>
      </c>
      <c r="F7" s="3">
        <f t="shared" si="1"/>
        <v>105375</v>
      </c>
      <c r="G7" s="3">
        <f t="shared" si="1"/>
        <v>98000</v>
      </c>
      <c r="H7" s="3">
        <f t="shared" si="1"/>
        <v>88750</v>
      </c>
    </row>
    <row r="8" spans="1:8" ht="12.75">
      <c r="A8" s="14">
        <v>5</v>
      </c>
      <c r="B8" s="1" t="s">
        <v>6</v>
      </c>
      <c r="C8" s="3">
        <f aca="true" t="shared" si="2" ref="C8:H8">C7*0.5</f>
        <v>60000</v>
      </c>
      <c r="D8" s="3">
        <f t="shared" si="2"/>
        <v>57937.5</v>
      </c>
      <c r="E8" s="3">
        <f t="shared" si="2"/>
        <v>55625</v>
      </c>
      <c r="F8" s="3">
        <f t="shared" si="2"/>
        <v>52687.5</v>
      </c>
      <c r="G8" s="3">
        <f t="shared" si="2"/>
        <v>49000</v>
      </c>
      <c r="H8" s="3">
        <f t="shared" si="2"/>
        <v>44375</v>
      </c>
    </row>
    <row r="9" spans="1:8" ht="12.75">
      <c r="A9" s="14">
        <v>6</v>
      </c>
      <c r="B9" s="1" t="s">
        <v>7</v>
      </c>
      <c r="C9" s="3">
        <f aca="true" t="shared" si="3" ref="C9:H9">C7-C8</f>
        <v>60000</v>
      </c>
      <c r="D9" s="3">
        <f t="shared" si="3"/>
        <v>57937.5</v>
      </c>
      <c r="E9" s="3">
        <f t="shared" si="3"/>
        <v>55625</v>
      </c>
      <c r="F9" s="3">
        <f t="shared" si="3"/>
        <v>52687.5</v>
      </c>
      <c r="G9" s="3">
        <f t="shared" si="3"/>
        <v>49000</v>
      </c>
      <c r="H9" s="3">
        <f t="shared" si="3"/>
        <v>44375</v>
      </c>
    </row>
    <row r="10" spans="1:8" ht="12.75">
      <c r="A10" s="14">
        <v>7</v>
      </c>
      <c r="B10" s="1" t="s">
        <v>31</v>
      </c>
      <c r="C10" s="3">
        <f aca="true" t="shared" si="4" ref="C10:H10">C9</f>
        <v>60000</v>
      </c>
      <c r="D10" s="3">
        <f t="shared" si="4"/>
        <v>57937.5</v>
      </c>
      <c r="E10" s="3">
        <f t="shared" si="4"/>
        <v>55625</v>
      </c>
      <c r="F10" s="3">
        <f t="shared" si="4"/>
        <v>52687.5</v>
      </c>
      <c r="G10" s="3">
        <f t="shared" si="4"/>
        <v>49000</v>
      </c>
      <c r="H10" s="3">
        <f t="shared" si="4"/>
        <v>44375</v>
      </c>
    </row>
    <row r="11" spans="1:8" ht="13.5" thickBot="1">
      <c r="A11" s="15">
        <v>8</v>
      </c>
      <c r="B11" s="9" t="s">
        <v>8</v>
      </c>
      <c r="C11" s="10">
        <f aca="true" t="shared" si="5" ref="C11:H11">C10+C6</f>
        <v>60000</v>
      </c>
      <c r="D11" s="10">
        <f t="shared" si="5"/>
        <v>62062.5</v>
      </c>
      <c r="E11" s="10">
        <f t="shared" si="5"/>
        <v>64375</v>
      </c>
      <c r="F11" s="10">
        <f t="shared" si="5"/>
        <v>67312.5</v>
      </c>
      <c r="G11" s="10">
        <f t="shared" si="5"/>
        <v>71000</v>
      </c>
      <c r="H11" s="10">
        <f t="shared" si="5"/>
        <v>75625</v>
      </c>
    </row>
    <row r="12" spans="1:8" ht="12.75">
      <c r="A12" s="14">
        <v>9</v>
      </c>
      <c r="B12" s="1" t="s">
        <v>9</v>
      </c>
      <c r="C12" s="5">
        <v>0.08</v>
      </c>
      <c r="D12" s="5">
        <v>0.0825</v>
      </c>
      <c r="E12" s="5">
        <v>0.0875</v>
      </c>
      <c r="F12" s="5">
        <v>0.0975</v>
      </c>
      <c r="G12" s="5">
        <v>0.11</v>
      </c>
      <c r="H12" s="5">
        <v>0.125</v>
      </c>
    </row>
    <row r="13" spans="1:8" ht="12.75">
      <c r="A13" s="14">
        <v>10</v>
      </c>
      <c r="B13" s="1" t="s">
        <v>10</v>
      </c>
      <c r="C13" s="5">
        <v>0.12</v>
      </c>
      <c r="D13" s="5">
        <v>0.125</v>
      </c>
      <c r="E13" s="5">
        <v>0.13</v>
      </c>
      <c r="F13" s="5">
        <v>0.135</v>
      </c>
      <c r="G13" s="5">
        <v>0.145</v>
      </c>
      <c r="H13" s="5">
        <v>0.16</v>
      </c>
    </row>
    <row r="14" spans="1:8" ht="12.75">
      <c r="A14" s="14">
        <v>11</v>
      </c>
      <c r="B14" s="1" t="s">
        <v>11</v>
      </c>
      <c r="C14" s="3">
        <f aca="true" t="shared" si="6" ref="C14:H14">C6/C12</f>
        <v>0</v>
      </c>
      <c r="D14" s="3">
        <f t="shared" si="6"/>
        <v>50000</v>
      </c>
      <c r="E14" s="3">
        <f t="shared" si="6"/>
        <v>100000</v>
      </c>
      <c r="F14" s="3">
        <f t="shared" si="6"/>
        <v>150000</v>
      </c>
      <c r="G14" s="3">
        <f t="shared" si="6"/>
        <v>200000</v>
      </c>
      <c r="H14" s="3">
        <f t="shared" si="6"/>
        <v>250000</v>
      </c>
    </row>
    <row r="15" spans="1:8" ht="12.75">
      <c r="A15" s="14">
        <v>12</v>
      </c>
      <c r="B15" s="1" t="s">
        <v>12</v>
      </c>
      <c r="C15" s="8">
        <f aca="true" t="shared" si="7" ref="C15:H15">C10/C13</f>
        <v>500000</v>
      </c>
      <c r="D15" s="8">
        <f t="shared" si="7"/>
        <v>463500</v>
      </c>
      <c r="E15" s="8">
        <f t="shared" si="7"/>
        <v>427884.6153846154</v>
      </c>
      <c r="F15" s="8">
        <f t="shared" si="7"/>
        <v>390277.77777777775</v>
      </c>
      <c r="G15" s="8">
        <f t="shared" si="7"/>
        <v>337931.03448275867</v>
      </c>
      <c r="H15" s="8">
        <f t="shared" si="7"/>
        <v>277343.75</v>
      </c>
    </row>
    <row r="16" spans="1:8" ht="13.5" thickBot="1">
      <c r="A16" s="15">
        <v>13</v>
      </c>
      <c r="B16" s="9" t="s">
        <v>13</v>
      </c>
      <c r="C16" s="10">
        <f aca="true" t="shared" si="8" ref="C16:H16">C14+C15</f>
        <v>500000</v>
      </c>
      <c r="D16" s="10">
        <f t="shared" si="8"/>
        <v>513500</v>
      </c>
      <c r="E16" s="10">
        <f t="shared" si="8"/>
        <v>527884.6153846154</v>
      </c>
      <c r="F16" s="13">
        <f t="shared" si="8"/>
        <v>540277.7777777778</v>
      </c>
      <c r="G16" s="10">
        <f t="shared" si="8"/>
        <v>537931.0344827587</v>
      </c>
      <c r="H16" s="10">
        <f t="shared" si="8"/>
        <v>527343.75</v>
      </c>
    </row>
    <row r="17" spans="1:8" ht="12.75">
      <c r="A17" s="14">
        <v>14</v>
      </c>
      <c r="B17" s="1" t="s">
        <v>14</v>
      </c>
      <c r="C17" s="1">
        <v>0</v>
      </c>
      <c r="D17" s="3">
        <v>50000</v>
      </c>
      <c r="E17" s="3">
        <v>100000</v>
      </c>
      <c r="F17" s="3">
        <v>150000</v>
      </c>
      <c r="G17" s="3">
        <v>200000</v>
      </c>
      <c r="H17" s="3">
        <v>250000</v>
      </c>
    </row>
    <row r="18" spans="1:8" ht="12.75">
      <c r="A18" s="14">
        <v>15</v>
      </c>
      <c r="B18" s="1" t="s">
        <v>15</v>
      </c>
      <c r="C18" s="8">
        <v>500000</v>
      </c>
      <c r="D18" s="8">
        <v>450000</v>
      </c>
      <c r="E18" s="8">
        <v>400000</v>
      </c>
      <c r="F18" s="8">
        <v>350000</v>
      </c>
      <c r="G18" s="8">
        <v>300000</v>
      </c>
      <c r="H18" s="8">
        <v>250000</v>
      </c>
    </row>
    <row r="19" spans="1:8" ht="13.5" thickBot="1">
      <c r="A19" s="15">
        <v>16</v>
      </c>
      <c r="B19" s="9" t="s">
        <v>16</v>
      </c>
      <c r="C19" s="10">
        <f aca="true" t="shared" si="9" ref="C19:H19">C17+C18</f>
        <v>500000</v>
      </c>
      <c r="D19" s="10">
        <f t="shared" si="9"/>
        <v>500000</v>
      </c>
      <c r="E19" s="10">
        <f t="shared" si="9"/>
        <v>500000</v>
      </c>
      <c r="F19" s="10">
        <f t="shared" si="9"/>
        <v>500000</v>
      </c>
      <c r="G19" s="10">
        <f t="shared" si="9"/>
        <v>500000</v>
      </c>
      <c r="H19" s="10">
        <f t="shared" si="9"/>
        <v>500000</v>
      </c>
    </row>
    <row r="20" spans="1:8" ht="12.75">
      <c r="A20" s="14">
        <v>17</v>
      </c>
      <c r="B20" s="1" t="s">
        <v>17</v>
      </c>
      <c r="C20" s="4">
        <v>0.12</v>
      </c>
      <c r="D20" s="4">
        <v>0.12</v>
      </c>
      <c r="E20" s="4">
        <v>0.12</v>
      </c>
      <c r="F20" s="4">
        <v>0.12</v>
      </c>
      <c r="G20" s="4">
        <v>0.12</v>
      </c>
      <c r="H20" s="4">
        <v>0.12</v>
      </c>
    </row>
    <row r="21" spans="1:8" ht="13.5" thickBot="1">
      <c r="A21" s="15">
        <v>18</v>
      </c>
      <c r="B21" s="9" t="s">
        <v>18</v>
      </c>
      <c r="C21" s="11">
        <f aca="true" t="shared" si="10" ref="C21:H21">C9/C18</f>
        <v>0.12</v>
      </c>
      <c r="D21" s="11">
        <f t="shared" si="10"/>
        <v>0.12875</v>
      </c>
      <c r="E21" s="11">
        <f t="shared" si="10"/>
        <v>0.1390625</v>
      </c>
      <c r="F21" s="11">
        <f t="shared" si="10"/>
        <v>0.15053571428571427</v>
      </c>
      <c r="G21" s="11">
        <f t="shared" si="10"/>
        <v>0.16333333333333333</v>
      </c>
      <c r="H21" s="11">
        <f t="shared" si="10"/>
        <v>0.1775</v>
      </c>
    </row>
    <row r="22" spans="1:8" ht="12.75">
      <c r="A22" s="14">
        <v>19</v>
      </c>
      <c r="B22" s="1" t="s">
        <v>19</v>
      </c>
      <c r="C22" s="3">
        <v>5000</v>
      </c>
      <c r="D22" s="3">
        <f>5000/(1+D17/D15)</f>
        <v>4513.145082765336</v>
      </c>
      <c r="E22" s="3">
        <f>5000/(1+E17/E15)</f>
        <v>4052.8233151183967</v>
      </c>
      <c r="F22" s="3">
        <f>5000/(1+F17/F15)</f>
        <v>3611.8251928020563</v>
      </c>
      <c r="G22" s="3">
        <f>5000/(1+G17/G15)</f>
        <v>3141.025641025641</v>
      </c>
      <c r="H22" s="3">
        <f>5000/(1+H17/H15)</f>
        <v>2629.6296296296296</v>
      </c>
    </row>
    <row r="23" spans="1:8" ht="13.5" thickBot="1">
      <c r="A23" s="15">
        <v>20</v>
      </c>
      <c r="B23" s="9" t="s">
        <v>20</v>
      </c>
      <c r="C23" s="9">
        <f aca="true" t="shared" si="11" ref="C23:H23">C15/C22</f>
        <v>100</v>
      </c>
      <c r="D23" s="9">
        <f t="shared" si="11"/>
        <v>102.69999999999999</v>
      </c>
      <c r="E23" s="9">
        <f t="shared" si="11"/>
        <v>105.57692307692308</v>
      </c>
      <c r="F23" s="12">
        <f t="shared" si="11"/>
        <v>108.05555555555556</v>
      </c>
      <c r="G23" s="9">
        <f t="shared" si="11"/>
        <v>107.58620689655173</v>
      </c>
      <c r="H23" s="9">
        <f t="shared" si="11"/>
        <v>105.46875</v>
      </c>
    </row>
    <row r="24" spans="1:8" ht="12.75">
      <c r="A24" s="14">
        <v>21</v>
      </c>
      <c r="B24" s="1" t="s">
        <v>21</v>
      </c>
      <c r="C24" s="1">
        <f aca="true" t="shared" si="12" ref="C24:H24">C9/C22</f>
        <v>12</v>
      </c>
      <c r="D24" s="1">
        <f t="shared" si="12"/>
        <v>12.837499999999999</v>
      </c>
      <c r="E24" s="1">
        <f t="shared" si="12"/>
        <v>13.725000000000001</v>
      </c>
      <c r="F24" s="1">
        <f t="shared" si="12"/>
        <v>14.5875</v>
      </c>
      <c r="G24" s="1">
        <f t="shared" si="12"/>
        <v>15.6</v>
      </c>
      <c r="H24" s="1">
        <f t="shared" si="12"/>
        <v>16.875</v>
      </c>
    </row>
    <row r="25" spans="1:8" ht="12.75">
      <c r="A25" s="14">
        <v>22</v>
      </c>
      <c r="B25" s="1" t="s">
        <v>22</v>
      </c>
      <c r="C25" s="1">
        <f aca="true" t="shared" si="13" ref="C25:H25">C23/C24</f>
        <v>8.333333333333334</v>
      </c>
      <c r="D25" s="1">
        <f t="shared" si="13"/>
        <v>8</v>
      </c>
      <c r="E25" s="1">
        <f t="shared" si="13"/>
        <v>7.692307692307692</v>
      </c>
      <c r="F25" s="1">
        <f t="shared" si="13"/>
        <v>7.407407407407407</v>
      </c>
      <c r="G25" s="1">
        <f t="shared" si="13"/>
        <v>6.8965517241379315</v>
      </c>
      <c r="H25" s="1">
        <f t="shared" si="13"/>
        <v>6.25</v>
      </c>
    </row>
    <row r="26" spans="1:8" ht="12.75">
      <c r="A26" s="14">
        <v>23</v>
      </c>
      <c r="B26" s="1" t="s">
        <v>23</v>
      </c>
      <c r="C26" s="2">
        <v>0</v>
      </c>
      <c r="D26" s="2">
        <v>0.1</v>
      </c>
      <c r="E26" s="2">
        <v>0.2</v>
      </c>
      <c r="F26" s="2">
        <v>0.3</v>
      </c>
      <c r="G26" s="2">
        <v>0.4</v>
      </c>
      <c r="H26" s="2">
        <v>0.5</v>
      </c>
    </row>
    <row r="27" spans="1:8" ht="13.5" thickBot="1">
      <c r="A27" s="15">
        <v>24</v>
      </c>
      <c r="B27" s="9" t="s">
        <v>24</v>
      </c>
      <c r="C27" s="11">
        <f aca="true" t="shared" si="14" ref="C27:H27">C14/C16</f>
        <v>0</v>
      </c>
      <c r="D27" s="11">
        <f t="shared" si="14"/>
        <v>0.09737098344693282</v>
      </c>
      <c r="E27" s="11">
        <f t="shared" si="14"/>
        <v>0.1894353369763206</v>
      </c>
      <c r="F27" s="11">
        <f t="shared" si="14"/>
        <v>0.2776349614395887</v>
      </c>
      <c r="G27" s="11">
        <f t="shared" si="14"/>
        <v>0.3717948717948717</v>
      </c>
      <c r="H27" s="11">
        <f t="shared" si="14"/>
        <v>0.4740740740740741</v>
      </c>
    </row>
    <row r="28" spans="1:8" ht="12.75">
      <c r="A28" s="14">
        <v>25</v>
      </c>
      <c r="B28" s="1" t="s">
        <v>25</v>
      </c>
      <c r="C28" s="4">
        <f aca="true" t="shared" si="15" ref="C28:H28">(C15*C13+C12*0.5*C14)/(C16)</f>
        <v>0.12</v>
      </c>
      <c r="D28" s="4">
        <f t="shared" si="15"/>
        <v>0.11684518013631938</v>
      </c>
      <c r="E28" s="4">
        <f t="shared" si="15"/>
        <v>0.11366120218579236</v>
      </c>
      <c r="F28" s="5">
        <f t="shared" si="15"/>
        <v>0.11105398457583548</v>
      </c>
      <c r="G28" s="4">
        <f t="shared" si="15"/>
        <v>0.11153846153846152</v>
      </c>
      <c r="H28" s="4">
        <f t="shared" si="15"/>
        <v>0.11377777777777778</v>
      </c>
    </row>
    <row r="29" spans="1:8" ht="12.75">
      <c r="A29" s="14">
        <v>26</v>
      </c>
      <c r="B29" s="1" t="s">
        <v>26</v>
      </c>
      <c r="C29" s="3">
        <f aca="true" t="shared" si="16" ref="C29:H29">C5*0.5</f>
        <v>60000</v>
      </c>
      <c r="D29" s="3">
        <f t="shared" si="16"/>
        <v>60000</v>
      </c>
      <c r="E29" s="3">
        <f t="shared" si="16"/>
        <v>60000</v>
      </c>
      <c r="F29" s="3">
        <f t="shared" si="16"/>
        <v>60000</v>
      </c>
      <c r="G29" s="3">
        <f t="shared" si="16"/>
        <v>60000</v>
      </c>
      <c r="H29" s="3">
        <f t="shared" si="16"/>
        <v>60000</v>
      </c>
    </row>
    <row r="30" spans="1:8" ht="13.5" thickBot="1">
      <c r="A30" s="15">
        <v>27</v>
      </c>
      <c r="B30" s="9" t="s">
        <v>27</v>
      </c>
      <c r="C30" s="10">
        <f aca="true" t="shared" si="17" ref="C30:H30">C29/C28</f>
        <v>500000</v>
      </c>
      <c r="D30" s="10">
        <f t="shared" si="17"/>
        <v>513500</v>
      </c>
      <c r="E30" s="10">
        <f t="shared" si="17"/>
        <v>527884.6153846154</v>
      </c>
      <c r="F30" s="13">
        <f t="shared" si="17"/>
        <v>540277.7777777778</v>
      </c>
      <c r="G30" s="10">
        <f t="shared" si="17"/>
        <v>537931.0344827587</v>
      </c>
      <c r="H30" s="10">
        <f t="shared" si="17"/>
        <v>527343.75</v>
      </c>
    </row>
    <row r="31" spans="1:8" ht="12.75">
      <c r="A31" s="17"/>
      <c r="B31" s="16"/>
      <c r="C31" s="6"/>
      <c r="D31" s="6"/>
      <c r="E31" s="6"/>
      <c r="F31" s="21"/>
      <c r="G31" s="6"/>
      <c r="H31" s="6"/>
    </row>
    <row r="32" spans="1:8" ht="12.75">
      <c r="A32" s="17"/>
      <c r="B32" s="16"/>
      <c r="C32" s="6"/>
      <c r="D32" s="6"/>
      <c r="E32" s="6"/>
      <c r="F32" s="21"/>
      <c r="G32" s="6"/>
      <c r="H32" s="6"/>
    </row>
    <row r="33" spans="1:8" ht="12.75">
      <c r="A33" s="17"/>
      <c r="B33" s="16"/>
      <c r="C33" s="6"/>
      <c r="D33" s="6"/>
      <c r="E33" s="6"/>
      <c r="F33" s="21"/>
      <c r="G33" s="6"/>
      <c r="H33" s="6"/>
    </row>
    <row r="34" spans="2:8" ht="12.75">
      <c r="B34" s="1" t="s">
        <v>28</v>
      </c>
      <c r="C34" s="3">
        <f aca="true" t="shared" si="18" ref="C34:H34">C16</f>
        <v>500000</v>
      </c>
      <c r="D34" s="3">
        <f t="shared" si="18"/>
        <v>513500</v>
      </c>
      <c r="E34" s="3">
        <f t="shared" si="18"/>
        <v>527884.6153846154</v>
      </c>
      <c r="F34" s="3">
        <f t="shared" si="18"/>
        <v>540277.7777777778</v>
      </c>
      <c r="G34" s="3">
        <f t="shared" si="18"/>
        <v>537931.0344827587</v>
      </c>
      <c r="H34" s="3">
        <f t="shared" si="18"/>
        <v>527343.75</v>
      </c>
    </row>
    <row r="35" spans="2:8" ht="12.75">
      <c r="B35" s="1" t="s">
        <v>29</v>
      </c>
      <c r="C35" s="4">
        <f aca="true" t="shared" si="19" ref="C35:H35">C28</f>
        <v>0.12</v>
      </c>
      <c r="D35" s="4">
        <f t="shared" si="19"/>
        <v>0.11684518013631938</v>
      </c>
      <c r="E35" s="4">
        <f t="shared" si="19"/>
        <v>0.11366120218579236</v>
      </c>
      <c r="F35" s="4">
        <f t="shared" si="19"/>
        <v>0.11105398457583548</v>
      </c>
      <c r="G35" s="4">
        <f t="shared" si="19"/>
        <v>0.11153846153846152</v>
      </c>
      <c r="H35" s="4">
        <f t="shared" si="19"/>
        <v>0.11377777777777778</v>
      </c>
    </row>
    <row r="36" spans="2:8" ht="12.75">
      <c r="B36" s="1" t="s">
        <v>30</v>
      </c>
      <c r="C36" s="1">
        <f aca="true" t="shared" si="20" ref="C36:H36">C23</f>
        <v>100</v>
      </c>
      <c r="D36" s="1">
        <f t="shared" si="20"/>
        <v>102.69999999999999</v>
      </c>
      <c r="E36" s="1">
        <f t="shared" si="20"/>
        <v>105.57692307692308</v>
      </c>
      <c r="F36" s="1">
        <f t="shared" si="20"/>
        <v>108.05555555555556</v>
      </c>
      <c r="G36" s="1">
        <f t="shared" si="20"/>
        <v>107.58620689655173</v>
      </c>
      <c r="H36" s="1">
        <f t="shared" si="20"/>
        <v>105.46875</v>
      </c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 t="s">
        <v>32</v>
      </c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50" ht="12.75">
      <c r="H50" s="1" t="s">
        <v>33</v>
      </c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</sheetData>
  <sheetProtection/>
  <printOptions/>
  <pageMargins left="0.7874015748031497" right="0.6" top="0.984251968503937" bottom="0.984251968503937" header="0" footer="0"/>
  <pageSetup orientation="portrait"/>
  <headerFooter alignWithMargins="0">
    <oddHeader>&amp;C&amp;F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.875" style="24" customWidth="1"/>
    <col min="2" max="2" width="29.625" style="23" customWidth="1"/>
    <col min="3" max="8" width="8.00390625" style="23" customWidth="1"/>
    <col min="9" max="9" width="7.75390625" style="23" customWidth="1"/>
    <col min="10" max="10" width="9.125" style="23" customWidth="1"/>
  </cols>
  <sheetData>
    <row r="1" spans="1:8" ht="12.75">
      <c r="A1" s="24" t="s">
        <v>1</v>
      </c>
      <c r="B1" s="49"/>
      <c r="C1" s="49"/>
      <c r="D1" s="49"/>
      <c r="E1" s="49"/>
      <c r="F1" s="49"/>
      <c r="G1" s="49"/>
      <c r="H1" s="49"/>
    </row>
    <row r="2" spans="2:8" ht="12.75">
      <c r="B2" s="49" t="s">
        <v>2</v>
      </c>
      <c r="C2" s="49"/>
      <c r="D2" s="49"/>
      <c r="E2" s="49"/>
      <c r="F2" s="49"/>
      <c r="G2" s="49"/>
      <c r="H2" s="49"/>
    </row>
    <row r="3" spans="3:8" ht="12.75">
      <c r="C3" s="162">
        <v>0</v>
      </c>
      <c r="D3" s="162">
        <v>0.1</v>
      </c>
      <c r="E3" s="162">
        <v>0.2</v>
      </c>
      <c r="F3" s="162">
        <v>0.3</v>
      </c>
      <c r="G3" s="162">
        <v>0.4</v>
      </c>
      <c r="H3" s="162">
        <v>0.5</v>
      </c>
    </row>
    <row r="4" spans="1:8" ht="12.75">
      <c r="A4" s="24">
        <v>1</v>
      </c>
      <c r="B4" s="49" t="s">
        <v>89</v>
      </c>
      <c r="C4" s="162">
        <v>0</v>
      </c>
      <c r="D4" s="162">
        <v>0.1</v>
      </c>
      <c r="E4" s="162">
        <v>0.2</v>
      </c>
      <c r="F4" s="162">
        <v>0.3</v>
      </c>
      <c r="G4" s="162">
        <v>0.4</v>
      </c>
      <c r="H4" s="162">
        <v>0.5</v>
      </c>
    </row>
    <row r="5" spans="1:8" ht="12.75">
      <c r="A5" s="24">
        <v>2</v>
      </c>
      <c r="B5" s="49" t="s">
        <v>3</v>
      </c>
      <c r="C5" s="91">
        <v>120000</v>
      </c>
      <c r="D5" s="91">
        <v>120000</v>
      </c>
      <c r="E5" s="91">
        <v>120000</v>
      </c>
      <c r="F5" s="91">
        <v>120000</v>
      </c>
      <c r="G5" s="91">
        <v>120000</v>
      </c>
      <c r="H5" s="91">
        <v>120000</v>
      </c>
    </row>
    <row r="6" spans="1:8" ht="12.75">
      <c r="A6" s="24">
        <v>3</v>
      </c>
      <c r="B6" s="49" t="s">
        <v>4</v>
      </c>
      <c r="C6" s="91">
        <f>C12*C17</f>
        <v>0</v>
      </c>
      <c r="D6" s="91">
        <f>D12*D17</f>
        <v>4125</v>
      </c>
      <c r="E6" s="91">
        <f>E12*E17</f>
        <v>8750</v>
      </c>
      <c r="F6" s="91">
        <f>F12*F17</f>
        <v>14625</v>
      </c>
      <c r="G6" s="91">
        <f>G12*G17</f>
        <v>22000</v>
      </c>
      <c r="H6" s="91">
        <f>H12*H17</f>
        <v>31250</v>
      </c>
    </row>
    <row r="7" spans="1:8" ht="12.75">
      <c r="A7" s="24">
        <v>4</v>
      </c>
      <c r="B7" s="49" t="s">
        <v>5</v>
      </c>
      <c r="C7" s="91">
        <f>C5-C6</f>
        <v>120000</v>
      </c>
      <c r="D7" s="91">
        <f>D5-D6</f>
        <v>115875</v>
      </c>
      <c r="E7" s="91">
        <f>E5-E6</f>
        <v>111250</v>
      </c>
      <c r="F7" s="91">
        <f>F5-F6</f>
        <v>105375</v>
      </c>
      <c r="G7" s="91">
        <f>G5-G6</f>
        <v>98000</v>
      </c>
      <c r="H7" s="91">
        <f>H5-H6</f>
        <v>88750</v>
      </c>
    </row>
    <row r="8" spans="1:8" ht="12.75">
      <c r="A8" s="24">
        <v>5</v>
      </c>
      <c r="B8" s="49" t="s">
        <v>6</v>
      </c>
      <c r="C8" s="91">
        <f>C7*0.5</f>
        <v>60000</v>
      </c>
      <c r="D8" s="91">
        <f>D7*0.5</f>
        <v>57937.5</v>
      </c>
      <c r="E8" s="91">
        <f>E7*0.5</f>
        <v>55625</v>
      </c>
      <c r="F8" s="91">
        <f>F7*0.5</f>
        <v>52687.5</v>
      </c>
      <c r="G8" s="91">
        <f>G7*0.5</f>
        <v>49000</v>
      </c>
      <c r="H8" s="91">
        <f>H7*0.5</f>
        <v>44375</v>
      </c>
    </row>
    <row r="9" spans="1:8" ht="12.75">
      <c r="A9" s="24">
        <v>6</v>
      </c>
      <c r="B9" s="49" t="s">
        <v>7</v>
      </c>
      <c r="C9" s="91">
        <f>C7-C8</f>
        <v>60000</v>
      </c>
      <c r="D9" s="91">
        <f>D7-D8</f>
        <v>57937.5</v>
      </c>
      <c r="E9" s="91">
        <f>E7-E8</f>
        <v>55625</v>
      </c>
      <c r="F9" s="91">
        <f>F7-F8</f>
        <v>52687.5</v>
      </c>
      <c r="G9" s="91">
        <f>G7-G8</f>
        <v>49000</v>
      </c>
      <c r="H9" s="91">
        <f>H7-H8</f>
        <v>44375</v>
      </c>
    </row>
    <row r="10" spans="1:8" ht="12.75">
      <c r="A10" s="24">
        <v>7</v>
      </c>
      <c r="B10" s="49" t="s">
        <v>31</v>
      </c>
      <c r="C10" s="91">
        <f>C9</f>
        <v>60000</v>
      </c>
      <c r="D10" s="91">
        <f>D9</f>
        <v>57937.5</v>
      </c>
      <c r="E10" s="91">
        <f>E9</f>
        <v>55625</v>
      </c>
      <c r="F10" s="91">
        <f>F9</f>
        <v>52687.5</v>
      </c>
      <c r="G10" s="91">
        <f>G9</f>
        <v>49000</v>
      </c>
      <c r="H10" s="91">
        <f>H9</f>
        <v>44375</v>
      </c>
    </row>
    <row r="11" spans="1:8" ht="13.5" thickBot="1">
      <c r="A11" s="89">
        <v>8</v>
      </c>
      <c r="B11" s="88" t="s">
        <v>8</v>
      </c>
      <c r="C11" s="87">
        <f>C10+C6</f>
        <v>60000</v>
      </c>
      <c r="D11" s="87">
        <f>D10+D6</f>
        <v>62062.5</v>
      </c>
      <c r="E11" s="87">
        <f>E10+E6</f>
        <v>64375</v>
      </c>
      <c r="F11" s="87">
        <f>F10+F6</f>
        <v>67312.5</v>
      </c>
      <c r="G11" s="87">
        <f>G10+G6</f>
        <v>71000</v>
      </c>
      <c r="H11" s="87">
        <f>H10+H6</f>
        <v>75625</v>
      </c>
    </row>
    <row r="12" spans="1:8" ht="12.75">
      <c r="A12" s="24">
        <v>9</v>
      </c>
      <c r="B12" s="49" t="s">
        <v>9</v>
      </c>
      <c r="C12" s="161">
        <v>0.08</v>
      </c>
      <c r="D12" s="161">
        <v>0.0825</v>
      </c>
      <c r="E12" s="161">
        <v>0.0875</v>
      </c>
      <c r="F12" s="161">
        <v>0.0975</v>
      </c>
      <c r="G12" s="161">
        <v>0.11</v>
      </c>
      <c r="H12" s="161">
        <v>0.125</v>
      </c>
    </row>
    <row r="13" spans="1:8" ht="12.75">
      <c r="A13" s="24">
        <v>10</v>
      </c>
      <c r="B13" s="49" t="s">
        <v>10</v>
      </c>
      <c r="C13" s="161">
        <v>0.12</v>
      </c>
      <c r="D13" s="161">
        <v>0.125</v>
      </c>
      <c r="E13" s="161">
        <v>0.13</v>
      </c>
      <c r="F13" s="161">
        <v>0.135</v>
      </c>
      <c r="G13" s="161">
        <v>0.145</v>
      </c>
      <c r="H13" s="161">
        <v>0.16</v>
      </c>
    </row>
    <row r="14" spans="1:8" ht="12.75">
      <c r="A14" s="24">
        <v>11</v>
      </c>
      <c r="B14" s="49" t="s">
        <v>11</v>
      </c>
      <c r="C14" s="91">
        <f>C6/C12</f>
        <v>0</v>
      </c>
      <c r="D14" s="91">
        <f>D6/D12</f>
        <v>50000</v>
      </c>
      <c r="E14" s="91">
        <f>E6/E12</f>
        <v>100000</v>
      </c>
      <c r="F14" s="91">
        <f>F6/F12</f>
        <v>150000</v>
      </c>
      <c r="G14" s="91">
        <f>G6/G12</f>
        <v>200000</v>
      </c>
      <c r="H14" s="91">
        <f>H6/H12</f>
        <v>250000</v>
      </c>
    </row>
    <row r="15" spans="1:8" ht="12.75">
      <c r="A15" s="24">
        <v>12</v>
      </c>
      <c r="B15" s="49" t="s">
        <v>12</v>
      </c>
      <c r="C15" s="90">
        <f>C10/C13</f>
        <v>500000</v>
      </c>
      <c r="D15" s="90">
        <f>D10/D13</f>
        <v>463500</v>
      </c>
      <c r="E15" s="90">
        <f>E10/E13</f>
        <v>427884.6153846154</v>
      </c>
      <c r="F15" s="90">
        <f>F10/F13</f>
        <v>390277.77777777775</v>
      </c>
      <c r="G15" s="90">
        <f>G10/G13</f>
        <v>337931.03448275867</v>
      </c>
      <c r="H15" s="90">
        <f>H10/H13</f>
        <v>277343.75</v>
      </c>
    </row>
    <row r="16" spans="1:8" ht="13.5" thickBot="1">
      <c r="A16" s="89">
        <v>13</v>
      </c>
      <c r="B16" s="88" t="s">
        <v>13</v>
      </c>
      <c r="C16" s="87">
        <f>C14+C15</f>
        <v>500000</v>
      </c>
      <c r="D16" s="87">
        <f>D14+D15</f>
        <v>513500</v>
      </c>
      <c r="E16" s="87">
        <f>E14+E15</f>
        <v>527884.6153846154</v>
      </c>
      <c r="F16" s="159">
        <f>F14+F15</f>
        <v>540277.7777777778</v>
      </c>
      <c r="G16" s="87">
        <f>G14+G15</f>
        <v>537931.0344827587</v>
      </c>
      <c r="H16" s="87">
        <f>H14+H15</f>
        <v>527343.75</v>
      </c>
    </row>
    <row r="17" spans="1:8" ht="12.75">
      <c r="A17" s="24">
        <v>14</v>
      </c>
      <c r="B17" s="49" t="s">
        <v>14</v>
      </c>
      <c r="C17" s="49">
        <v>0</v>
      </c>
      <c r="D17" s="91">
        <v>50000</v>
      </c>
      <c r="E17" s="91">
        <v>100000</v>
      </c>
      <c r="F17" s="91">
        <v>150000</v>
      </c>
      <c r="G17" s="91">
        <v>200000</v>
      </c>
      <c r="H17" s="91">
        <v>250000</v>
      </c>
    </row>
    <row r="18" spans="1:8" ht="12.75">
      <c r="A18" s="24">
        <v>15</v>
      </c>
      <c r="B18" s="49" t="s">
        <v>15</v>
      </c>
      <c r="C18" s="90">
        <v>500000</v>
      </c>
      <c r="D18" s="90">
        <v>450000</v>
      </c>
      <c r="E18" s="90">
        <v>400000</v>
      </c>
      <c r="F18" s="90">
        <v>350000</v>
      </c>
      <c r="G18" s="90">
        <v>300000</v>
      </c>
      <c r="H18" s="90">
        <v>250000</v>
      </c>
    </row>
    <row r="19" spans="1:8" ht="13.5" thickBot="1">
      <c r="A19" s="89">
        <v>16</v>
      </c>
      <c r="B19" s="88" t="s">
        <v>16</v>
      </c>
      <c r="C19" s="87">
        <v>500000</v>
      </c>
      <c r="D19" s="87">
        <v>500000</v>
      </c>
      <c r="E19" s="87">
        <v>500000</v>
      </c>
      <c r="F19" s="87">
        <v>500000</v>
      </c>
      <c r="G19" s="87">
        <v>500000</v>
      </c>
      <c r="H19" s="87">
        <v>500000</v>
      </c>
    </row>
    <row r="20" spans="1:8" ht="12.75">
      <c r="A20" s="24">
        <v>17</v>
      </c>
      <c r="B20" s="49" t="s">
        <v>17</v>
      </c>
      <c r="C20" s="160">
        <v>0.12</v>
      </c>
      <c r="D20" s="160">
        <v>0.12</v>
      </c>
      <c r="E20" s="160">
        <v>0.12</v>
      </c>
      <c r="F20" s="160">
        <v>0.12</v>
      </c>
      <c r="G20" s="160">
        <v>0.12</v>
      </c>
      <c r="H20" s="160">
        <v>0.12</v>
      </c>
    </row>
    <row r="21" spans="1:8" ht="13.5" thickBot="1">
      <c r="A21" s="89">
        <v>18</v>
      </c>
      <c r="B21" s="88" t="s">
        <v>18</v>
      </c>
      <c r="C21" s="115">
        <f>C9/C18</f>
        <v>0.12</v>
      </c>
      <c r="D21" s="115">
        <f>D9/D18</f>
        <v>0.12875</v>
      </c>
      <c r="E21" s="115">
        <f>E9/E18</f>
        <v>0.1390625</v>
      </c>
      <c r="F21" s="115">
        <f>F9/F18</f>
        <v>0.15053571428571427</v>
      </c>
      <c r="G21" s="115">
        <f>G9/G18</f>
        <v>0.16333333333333333</v>
      </c>
      <c r="H21" s="115">
        <f>H9/H18</f>
        <v>0.1775</v>
      </c>
    </row>
    <row r="22" spans="1:8" ht="12.75">
      <c r="A22" s="24">
        <v>19</v>
      </c>
      <c r="B22" s="49" t="s">
        <v>19</v>
      </c>
      <c r="C22" s="91">
        <v>5000</v>
      </c>
      <c r="D22" s="91">
        <f>5000/(1+D17/D15)</f>
        <v>4513.145082765336</v>
      </c>
      <c r="E22" s="91">
        <f>5000/(1+E17/E15)</f>
        <v>4052.8233151183967</v>
      </c>
      <c r="F22" s="91">
        <f>5000/(1+F17/F15)</f>
        <v>3611.8251928020563</v>
      </c>
      <c r="G22" s="91">
        <f>5000/(1+G17/G15)</f>
        <v>3141.025641025641</v>
      </c>
      <c r="H22" s="91">
        <f>5000/(1+H17/H15)</f>
        <v>2629.6296296296296</v>
      </c>
    </row>
    <row r="23" spans="1:8" ht="13.5" thickBot="1">
      <c r="A23" s="89">
        <v>20</v>
      </c>
      <c r="B23" s="88" t="s">
        <v>20</v>
      </c>
      <c r="C23" s="88">
        <f>C15/C22</f>
        <v>100</v>
      </c>
      <c r="D23" s="88">
        <f>D15/D22</f>
        <v>102.69999999999999</v>
      </c>
      <c r="E23" s="88">
        <f>E15/E22</f>
        <v>105.57692307692308</v>
      </c>
      <c r="F23" s="163">
        <f>F15/F22</f>
        <v>108.05555555555556</v>
      </c>
      <c r="G23" s="88">
        <f>G15/G22</f>
        <v>107.58620689655173</v>
      </c>
      <c r="H23" s="88">
        <f>H15/H22</f>
        <v>105.46875</v>
      </c>
    </row>
    <row r="24" spans="1:8" ht="12.75">
      <c r="A24" s="24">
        <v>21</v>
      </c>
      <c r="B24" s="49" t="s">
        <v>21</v>
      </c>
      <c r="C24" s="49">
        <f>C9/C22</f>
        <v>12</v>
      </c>
      <c r="D24" s="49">
        <f>D9/D22</f>
        <v>12.837499999999999</v>
      </c>
      <c r="E24" s="49">
        <f>E9/E22</f>
        <v>13.725000000000001</v>
      </c>
      <c r="F24" s="49">
        <f>F9/F22</f>
        <v>14.5875</v>
      </c>
      <c r="G24" s="49">
        <f>G9/G22</f>
        <v>15.6</v>
      </c>
      <c r="H24" s="49">
        <f>H9/H22</f>
        <v>16.875</v>
      </c>
    </row>
    <row r="25" spans="1:8" ht="12.75">
      <c r="A25" s="24">
        <v>22</v>
      </c>
      <c r="B25" s="49" t="s">
        <v>22</v>
      </c>
      <c r="C25" s="49">
        <f>C23/C24</f>
        <v>8.333333333333334</v>
      </c>
      <c r="D25" s="49">
        <f>D23/D24</f>
        <v>8</v>
      </c>
      <c r="E25" s="49">
        <f>E23/E24</f>
        <v>7.692307692307692</v>
      </c>
      <c r="F25" s="49">
        <f>F23/F24</f>
        <v>7.407407407407407</v>
      </c>
      <c r="G25" s="49">
        <f>G23/G24</f>
        <v>6.8965517241379315</v>
      </c>
      <c r="H25" s="49">
        <f>H23/H24</f>
        <v>6.25</v>
      </c>
    </row>
    <row r="26" spans="1:8" ht="12.75">
      <c r="A26" s="24">
        <v>23</v>
      </c>
      <c r="B26" s="49" t="s">
        <v>23</v>
      </c>
      <c r="C26" s="162">
        <v>0</v>
      </c>
      <c r="D26" s="162">
        <v>0.1</v>
      </c>
      <c r="E26" s="162">
        <v>0.2</v>
      </c>
      <c r="F26" s="162">
        <v>0.3</v>
      </c>
      <c r="G26" s="162">
        <v>0.4</v>
      </c>
      <c r="H26" s="162">
        <v>0.5</v>
      </c>
    </row>
    <row r="27" spans="1:8" ht="13.5" thickBot="1">
      <c r="A27" s="89">
        <v>24</v>
      </c>
      <c r="B27" s="88" t="s">
        <v>24</v>
      </c>
      <c r="C27" s="115">
        <f>C14/C16</f>
        <v>0</v>
      </c>
      <c r="D27" s="115">
        <f>D14/D16</f>
        <v>0.09737098344693282</v>
      </c>
      <c r="E27" s="115">
        <f>E14/E16</f>
        <v>0.1894353369763206</v>
      </c>
      <c r="F27" s="115">
        <f>F14/F16</f>
        <v>0.2776349614395887</v>
      </c>
      <c r="G27" s="115">
        <f>G14/G16</f>
        <v>0.3717948717948717</v>
      </c>
      <c r="H27" s="115">
        <f>H14/H16</f>
        <v>0.4740740740740741</v>
      </c>
    </row>
    <row r="28" spans="1:8" ht="12.75">
      <c r="A28" s="24">
        <v>25</v>
      </c>
      <c r="B28" s="49" t="s">
        <v>25</v>
      </c>
      <c r="C28" s="160">
        <f>(C15*C13+C12*0.5*C14)/(C16)</f>
        <v>0.12</v>
      </c>
      <c r="D28" s="160">
        <f>(D15*D13+D12*0.5*D14)/(D16)</f>
        <v>0.11684518013631938</v>
      </c>
      <c r="E28" s="160">
        <f>(E15*E13+E12*0.5*E14)/(E16)</f>
        <v>0.11366120218579236</v>
      </c>
      <c r="F28" s="161">
        <f>(F15*F13+F12*0.5*F14)/(F16)</f>
        <v>0.11105398457583548</v>
      </c>
      <c r="G28" s="160">
        <f>(G15*G13+G12*0.5*G14)/(G16)</f>
        <v>0.11153846153846152</v>
      </c>
      <c r="H28" s="160">
        <f>(H15*H13+H12*0.5*H14)/(H16)</f>
        <v>0.11377777777777778</v>
      </c>
    </row>
    <row r="29" spans="1:8" ht="12.75">
      <c r="A29" s="24">
        <v>26</v>
      </c>
      <c r="B29" s="49" t="s">
        <v>26</v>
      </c>
      <c r="C29" s="91">
        <f>C5*0.5</f>
        <v>60000</v>
      </c>
      <c r="D29" s="91">
        <f>D5*0.5</f>
        <v>60000</v>
      </c>
      <c r="E29" s="91">
        <f>E5*0.5</f>
        <v>60000</v>
      </c>
      <c r="F29" s="91">
        <f>F5*0.5</f>
        <v>60000</v>
      </c>
      <c r="G29" s="91">
        <f>G5*0.5</f>
        <v>60000</v>
      </c>
      <c r="H29" s="91">
        <f>H5*0.5</f>
        <v>60000</v>
      </c>
    </row>
    <row r="30" spans="1:8" ht="13.5" thickBot="1">
      <c r="A30" s="89">
        <v>27</v>
      </c>
      <c r="B30" s="88" t="s">
        <v>27</v>
      </c>
      <c r="C30" s="87">
        <f>C29/C28</f>
        <v>500000</v>
      </c>
      <c r="D30" s="87">
        <f>D29/D28</f>
        <v>513500</v>
      </c>
      <c r="E30" s="87">
        <f>E29/E28</f>
        <v>527884.6153846154</v>
      </c>
      <c r="F30" s="159">
        <f>F29/F28</f>
        <v>540277.7777777778</v>
      </c>
      <c r="G30" s="87">
        <f>G29/G28</f>
        <v>537931.0344827587</v>
      </c>
      <c r="H30" s="87">
        <f>H29/H28</f>
        <v>527343.75</v>
      </c>
    </row>
    <row r="31" spans="2:8" ht="12.75">
      <c r="B31" s="44" t="s">
        <v>88</v>
      </c>
      <c r="C31" s="49"/>
      <c r="D31" s="49"/>
      <c r="E31" s="49"/>
      <c r="F31" s="49"/>
      <c r="G31" s="49"/>
      <c r="H31" s="49"/>
    </row>
    <row r="32" spans="2:8" ht="12.75">
      <c r="B32" s="44"/>
      <c r="C32" s="49"/>
      <c r="D32" s="49"/>
      <c r="E32" s="49"/>
      <c r="F32" s="49"/>
      <c r="G32" s="49"/>
      <c r="H32" s="49"/>
    </row>
    <row r="33" spans="2:8" ht="13.5" thickBot="1">
      <c r="B33" s="44" t="s">
        <v>87</v>
      </c>
      <c r="C33" s="49"/>
      <c r="D33" s="49"/>
      <c r="E33" s="49"/>
      <c r="F33" s="49"/>
      <c r="G33" s="49"/>
      <c r="H33" s="49"/>
    </row>
    <row r="34" spans="1:10" ht="12.75">
      <c r="A34" s="48"/>
      <c r="B34" s="68" t="s">
        <v>36</v>
      </c>
      <c r="C34" s="67">
        <v>0</v>
      </c>
      <c r="D34" s="66">
        <f>C34+50000</f>
        <v>50000</v>
      </c>
      <c r="E34" s="66">
        <f>D34+50000</f>
        <v>100000</v>
      </c>
      <c r="F34" s="66">
        <f>E34+50000</f>
        <v>150000</v>
      </c>
      <c r="G34" s="66">
        <f>F34+50000</f>
        <v>200000</v>
      </c>
      <c r="H34" s="65">
        <f>G34+50000</f>
        <v>250000</v>
      </c>
      <c r="I34" s="45"/>
      <c r="J34" s="45"/>
    </row>
    <row r="35" spans="1:10" ht="13.5">
      <c r="A35" s="64">
        <v>5</v>
      </c>
      <c r="B35" s="63" t="s">
        <v>86</v>
      </c>
      <c r="C35" s="158">
        <f>C8</f>
        <v>60000</v>
      </c>
      <c r="D35" s="158">
        <f>D8</f>
        <v>57937.5</v>
      </c>
      <c r="E35" s="158">
        <f>E8</f>
        <v>55625</v>
      </c>
      <c r="F35" s="158">
        <f>F8</f>
        <v>52687.5</v>
      </c>
      <c r="G35" s="158">
        <f>G8</f>
        <v>49000</v>
      </c>
      <c r="H35" s="157">
        <f>H8</f>
        <v>44375</v>
      </c>
      <c r="I35" s="32"/>
      <c r="J35" s="32"/>
    </row>
    <row r="36" spans="1:10" ht="13.5">
      <c r="A36" s="79">
        <v>3</v>
      </c>
      <c r="B36" s="78" t="s">
        <v>85</v>
      </c>
      <c r="C36" s="77">
        <f>C6</f>
        <v>0</v>
      </c>
      <c r="D36" s="77">
        <f>D6</f>
        <v>4125</v>
      </c>
      <c r="E36" s="77">
        <f>E6</f>
        <v>8750</v>
      </c>
      <c r="F36" s="77">
        <f>F6</f>
        <v>14625</v>
      </c>
      <c r="G36" s="77">
        <f>G6</f>
        <v>22000</v>
      </c>
      <c r="H36" s="152">
        <f>H6</f>
        <v>31250</v>
      </c>
      <c r="I36" s="32"/>
      <c r="J36" s="32"/>
    </row>
    <row r="37" spans="1:10" ht="14.25" thickBot="1">
      <c r="A37" s="79">
        <v>7</v>
      </c>
      <c r="B37" s="78" t="s">
        <v>84</v>
      </c>
      <c r="C37" s="77">
        <f>C10</f>
        <v>60000</v>
      </c>
      <c r="D37" s="77">
        <f>D10</f>
        <v>57937.5</v>
      </c>
      <c r="E37" s="77">
        <f>E10</f>
        <v>55625</v>
      </c>
      <c r="F37" s="77">
        <f>F10</f>
        <v>52687.5</v>
      </c>
      <c r="G37" s="77">
        <f>G10</f>
        <v>49000</v>
      </c>
      <c r="H37" s="152">
        <f>H10</f>
        <v>44375</v>
      </c>
      <c r="I37" s="32"/>
      <c r="J37" s="32"/>
    </row>
    <row r="38" spans="1:10" ht="14.25" thickBot="1">
      <c r="A38" s="156">
        <v>2</v>
      </c>
      <c r="B38" s="155" t="s">
        <v>83</v>
      </c>
      <c r="C38" s="154">
        <f>SUM(C35:C37)</f>
        <v>120000</v>
      </c>
      <c r="D38" s="154">
        <f>SUM(D35:D37)</f>
        <v>120000</v>
      </c>
      <c r="E38" s="154">
        <f>SUM(E35:E37)</f>
        <v>120000</v>
      </c>
      <c r="F38" s="154">
        <f>SUM(F35:F37)</f>
        <v>120000</v>
      </c>
      <c r="G38" s="154">
        <f>SUM(G35:G37)</f>
        <v>120000</v>
      </c>
      <c r="H38" s="153">
        <f>SUM(H35:H37)</f>
        <v>120000</v>
      </c>
      <c r="I38" s="32"/>
      <c r="J38" s="32"/>
    </row>
    <row r="39" spans="1:8" ht="14.25" thickBot="1">
      <c r="A39" s="79">
        <v>28</v>
      </c>
      <c r="B39" s="78" t="s">
        <v>82</v>
      </c>
      <c r="C39" s="77">
        <f>C8/C13</f>
        <v>500000</v>
      </c>
      <c r="D39" s="77">
        <f>D8/D13</f>
        <v>463500</v>
      </c>
      <c r="E39" s="77">
        <f>E8/E13</f>
        <v>427884.6153846154</v>
      </c>
      <c r="F39" s="77">
        <f>F8/F13</f>
        <v>390277.77777777775</v>
      </c>
      <c r="G39" s="77">
        <f>G8/G13</f>
        <v>337931.03448275867</v>
      </c>
      <c r="H39" s="152">
        <f>H8/H13</f>
        <v>277343.75</v>
      </c>
    </row>
    <row r="40" spans="1:8" ht="14.25" thickBot="1">
      <c r="A40" s="151">
        <v>29</v>
      </c>
      <c r="B40" s="150" t="s">
        <v>81</v>
      </c>
      <c r="C40" s="149">
        <f>C39+C14+C15</f>
        <v>1000000</v>
      </c>
      <c r="D40" s="149">
        <f>D39+D14+D15</f>
        <v>977000</v>
      </c>
      <c r="E40" s="149">
        <f>E39+E14+E15</f>
        <v>955769.2307692308</v>
      </c>
      <c r="F40" s="149">
        <f>F39+F14+F15</f>
        <v>930555.5555555555</v>
      </c>
      <c r="G40" s="149">
        <f>G39+G14+G15</f>
        <v>875862.0689655175</v>
      </c>
      <c r="H40" s="148">
        <f>H39+H14+H15</f>
        <v>804687.5</v>
      </c>
    </row>
    <row r="41" spans="1:8" ht="13.5">
      <c r="A41" s="79">
        <v>30</v>
      </c>
      <c r="B41" s="147" t="s">
        <v>80</v>
      </c>
      <c r="C41" s="146">
        <f>C87/C40</f>
        <v>0.12</v>
      </c>
      <c r="D41" s="146">
        <f>D87/D40</f>
        <v>0.12282497441146366</v>
      </c>
      <c r="E41" s="146">
        <f>E87/E40</f>
        <v>0.1255533199195171</v>
      </c>
      <c r="F41" s="146">
        <f>F87/F40</f>
        <v>0.12895522388059702</v>
      </c>
      <c r="G41" s="146">
        <f>G87/G40</f>
        <v>0.137007874015748</v>
      </c>
      <c r="H41" s="145">
        <f>H87/H40</f>
        <v>0.14912621359223302</v>
      </c>
    </row>
    <row r="42" spans="1:10" ht="14.25" thickBot="1">
      <c r="A42" s="86">
        <v>31</v>
      </c>
      <c r="B42" s="144" t="s">
        <v>79</v>
      </c>
      <c r="C42" s="143"/>
      <c r="D42" s="142">
        <f>D41-C41</f>
        <v>0.0028249744114636627</v>
      </c>
      <c r="E42" s="142">
        <f>E41-D41</f>
        <v>0.0027283455080534397</v>
      </c>
      <c r="F42" s="142">
        <f>F41-E41</f>
        <v>0.0034019039610799218</v>
      </c>
      <c r="G42" s="142">
        <f>G41-F41</f>
        <v>0.008052650135150968</v>
      </c>
      <c r="H42" s="141">
        <f>H41-G41</f>
        <v>0.012118339576485032</v>
      </c>
      <c r="I42" s="140"/>
      <c r="J42" s="140"/>
    </row>
    <row r="43" spans="1:8" ht="12.75">
      <c r="A43" s="95"/>
      <c r="B43" s="126"/>
      <c r="C43" s="125"/>
      <c r="D43" s="125"/>
      <c r="E43" s="125"/>
      <c r="F43" s="125"/>
      <c r="G43" s="125"/>
      <c r="H43" s="125"/>
    </row>
    <row r="44" spans="1:8" ht="12.75">
      <c r="A44" s="95"/>
      <c r="B44" s="126"/>
      <c r="C44" s="125"/>
      <c r="D44" s="125"/>
      <c r="E44" s="125"/>
      <c r="F44" s="125"/>
      <c r="G44" s="125"/>
      <c r="H44" s="125"/>
    </row>
    <row r="45" spans="1:8" ht="13.5" thickBot="1">
      <c r="A45" s="95"/>
      <c r="B45" s="44" t="s">
        <v>78</v>
      </c>
      <c r="C45" s="125"/>
      <c r="D45" s="125"/>
      <c r="E45" s="125"/>
      <c r="F45" s="125"/>
      <c r="G45" s="125"/>
      <c r="H45" s="125"/>
    </row>
    <row r="46" spans="1:10" ht="12.75">
      <c r="A46" s="48"/>
      <c r="B46" s="68" t="s">
        <v>36</v>
      </c>
      <c r="C46" s="67">
        <v>0</v>
      </c>
      <c r="D46" s="66">
        <f>C46+50000</f>
        <v>50000</v>
      </c>
      <c r="E46" s="66">
        <f>D46+50000</f>
        <v>100000</v>
      </c>
      <c r="F46" s="66">
        <f>E46+50000</f>
        <v>150000</v>
      </c>
      <c r="G46" s="66">
        <f>F46+50000</f>
        <v>200000</v>
      </c>
      <c r="H46" s="65">
        <f>G46+50000</f>
        <v>250000</v>
      </c>
      <c r="I46" s="45"/>
      <c r="J46" s="45"/>
    </row>
    <row r="47" spans="1:8" ht="12.75">
      <c r="A47" s="139">
        <v>32</v>
      </c>
      <c r="B47" s="138" t="s">
        <v>77</v>
      </c>
      <c r="C47" s="137">
        <v>0</v>
      </c>
      <c r="D47" s="137">
        <f>($C40-D40)/2</f>
        <v>11500</v>
      </c>
      <c r="E47" s="137">
        <f>($C40-E40)/2</f>
        <v>22115.384615384624</v>
      </c>
      <c r="F47" s="137">
        <f>($C40-F40)/2</f>
        <v>34722.22222222225</v>
      </c>
      <c r="G47" s="137">
        <f>($C40-G40)/2</f>
        <v>62068.965517241275</v>
      </c>
      <c r="H47" s="136">
        <f>($C40-H40)/2</f>
        <v>97656.25</v>
      </c>
    </row>
    <row r="48" spans="1:8" ht="13.5">
      <c r="A48" s="135">
        <v>33</v>
      </c>
      <c r="B48" s="134" t="s">
        <v>76</v>
      </c>
      <c r="C48" s="125"/>
      <c r="D48" s="125">
        <f>D47-C47</f>
        <v>11500</v>
      </c>
      <c r="E48" s="125">
        <f>E47-D47</f>
        <v>10615.384615384624</v>
      </c>
      <c r="F48" s="125">
        <f>F47-E47</f>
        <v>12606.837606837624</v>
      </c>
      <c r="G48" s="133">
        <f>G47-F47</f>
        <v>27346.743295019027</v>
      </c>
      <c r="H48" s="132">
        <f>H47-G47</f>
        <v>35587.284482758725</v>
      </c>
    </row>
    <row r="49" spans="1:8" ht="13.5" thickBot="1">
      <c r="A49" s="131">
        <v>34</v>
      </c>
      <c r="B49" s="130" t="s">
        <v>75</v>
      </c>
      <c r="C49" s="87"/>
      <c r="D49" s="87">
        <f>50000*0.5</f>
        <v>25000</v>
      </c>
      <c r="E49" s="87">
        <f>50000*0.5</f>
        <v>25000</v>
      </c>
      <c r="F49" s="87">
        <f>50000*0.5</f>
        <v>25000</v>
      </c>
      <c r="G49" s="129">
        <f>50000*0.5</f>
        <v>25000</v>
      </c>
      <c r="H49" s="128">
        <f>50000*0.5</f>
        <v>25000</v>
      </c>
    </row>
    <row r="50" spans="2:8" ht="12.75">
      <c r="B50" s="127"/>
      <c r="C50" s="125"/>
      <c r="D50" s="125"/>
      <c r="E50" s="125"/>
      <c r="F50" s="125"/>
      <c r="G50" s="125"/>
      <c r="H50" s="125"/>
    </row>
    <row r="51" spans="2:8" ht="12.75">
      <c r="B51" s="126" t="s">
        <v>74</v>
      </c>
      <c r="C51" s="125"/>
      <c r="D51" s="125"/>
      <c r="E51" s="125"/>
      <c r="F51" s="125"/>
      <c r="G51" s="125"/>
      <c r="H51" s="125"/>
    </row>
    <row r="52" spans="1:8" ht="12.75">
      <c r="A52" s="24">
        <v>30</v>
      </c>
      <c r="B52" s="126" t="s">
        <v>73</v>
      </c>
      <c r="C52" s="125">
        <f>1000000-C30</f>
        <v>500000</v>
      </c>
      <c r="D52" s="125">
        <f>1000000-D30</f>
        <v>486500</v>
      </c>
      <c r="E52" s="125">
        <f>1000000-E30</f>
        <v>472115.3846153846</v>
      </c>
      <c r="F52" s="125">
        <f>1000000-F30</f>
        <v>459722.22222222225</v>
      </c>
      <c r="G52" s="125">
        <f>1000000-G30</f>
        <v>462068.9655172413</v>
      </c>
      <c r="H52" s="125">
        <f>1000000-H30</f>
        <v>472656.25</v>
      </c>
    </row>
    <row r="53" spans="1:8" ht="12.75">
      <c r="A53" s="24">
        <v>31</v>
      </c>
      <c r="B53" s="98" t="s">
        <v>72</v>
      </c>
      <c r="C53" s="124">
        <f>C8/C52</f>
        <v>0.12</v>
      </c>
      <c r="D53" s="124">
        <f>D8/D52</f>
        <v>0.11909044193216856</v>
      </c>
      <c r="E53" s="124">
        <f>E8/E52</f>
        <v>0.11782077393075356</v>
      </c>
      <c r="F53" s="124">
        <f>F8/F52</f>
        <v>0.11460725075528701</v>
      </c>
      <c r="G53" s="124">
        <f>G8/G52</f>
        <v>0.10604477611940301</v>
      </c>
      <c r="H53" s="124">
        <f>H8/H52</f>
        <v>0.09388429752066116</v>
      </c>
    </row>
    <row r="54" spans="2:8" ht="13.5" thickBot="1">
      <c r="B54" s="44" t="s">
        <v>71</v>
      </c>
      <c r="C54" s="49"/>
      <c r="D54" s="49"/>
      <c r="E54" s="49"/>
      <c r="F54" s="49"/>
      <c r="G54" s="49"/>
      <c r="H54" s="49"/>
    </row>
    <row r="55" spans="2:8" ht="12.75">
      <c r="B55" s="123" t="s">
        <v>70</v>
      </c>
      <c r="C55" s="122"/>
      <c r="D55" s="122"/>
      <c r="E55" s="122"/>
      <c r="F55" s="122"/>
      <c r="G55" s="122"/>
      <c r="H55" s="121"/>
    </row>
    <row r="56" spans="1:8" ht="12.75">
      <c r="A56" s="24">
        <v>35</v>
      </c>
      <c r="B56" s="106" t="s">
        <v>69</v>
      </c>
      <c r="C56" s="94"/>
      <c r="D56" s="118">
        <f>D12</f>
        <v>0.0825</v>
      </c>
      <c r="E56" s="118">
        <f>D56</f>
        <v>0.0825</v>
      </c>
      <c r="F56" s="118">
        <f>E56</f>
        <v>0.0825</v>
      </c>
      <c r="G56" s="118">
        <f>F56</f>
        <v>0.0825</v>
      </c>
      <c r="H56" s="120">
        <f>G56</f>
        <v>0.0825</v>
      </c>
    </row>
    <row r="57" spans="1:8" ht="12.75">
      <c r="A57" s="24">
        <f>A56+1</f>
        <v>36</v>
      </c>
      <c r="B57" s="106" t="s">
        <v>68</v>
      </c>
      <c r="C57" s="94"/>
      <c r="D57" s="118"/>
      <c r="E57" s="118">
        <f>(E6-D6)/50000</f>
        <v>0.0925</v>
      </c>
      <c r="F57" s="118">
        <f>E57</f>
        <v>0.0925</v>
      </c>
      <c r="G57" s="118">
        <f>F57</f>
        <v>0.0925</v>
      </c>
      <c r="H57" s="120">
        <f>G57</f>
        <v>0.0925</v>
      </c>
    </row>
    <row r="58" spans="1:8" ht="12.75">
      <c r="A58" s="24">
        <f>A57+1</f>
        <v>37</v>
      </c>
      <c r="B58" s="106" t="s">
        <v>68</v>
      </c>
      <c r="C58" s="94"/>
      <c r="D58" s="118"/>
      <c r="E58" s="118"/>
      <c r="F58" s="118">
        <f>(F6-E6)/50000</f>
        <v>0.1175</v>
      </c>
      <c r="G58" s="118">
        <f>F58</f>
        <v>0.1175</v>
      </c>
      <c r="H58" s="120">
        <f>G58</f>
        <v>0.1175</v>
      </c>
    </row>
    <row r="59" spans="1:8" ht="12.75">
      <c r="A59" s="24">
        <f>A58+1</f>
        <v>38</v>
      </c>
      <c r="B59" s="106" t="s">
        <v>68</v>
      </c>
      <c r="C59" s="94"/>
      <c r="D59" s="118"/>
      <c r="E59" s="118"/>
      <c r="F59" s="118"/>
      <c r="G59" s="118">
        <f>(G6-F6)/50000</f>
        <v>0.1475</v>
      </c>
      <c r="H59" s="117">
        <f>G59</f>
        <v>0.1475</v>
      </c>
    </row>
    <row r="60" spans="1:8" ht="12.75">
      <c r="A60" s="24">
        <f>A59+1</f>
        <v>39</v>
      </c>
      <c r="B60" s="106" t="s">
        <v>68</v>
      </c>
      <c r="C60" s="119"/>
      <c r="D60" s="118"/>
      <c r="E60" s="118"/>
      <c r="F60" s="118"/>
      <c r="G60" s="118"/>
      <c r="H60" s="117">
        <f>(H6-G6)/50000</f>
        <v>0.185</v>
      </c>
    </row>
    <row r="61" spans="1:8" ht="13.5" thickBot="1">
      <c r="A61" s="24">
        <f>A60+1</f>
        <v>40</v>
      </c>
      <c r="B61" s="104" t="s">
        <v>67</v>
      </c>
      <c r="C61" s="116"/>
      <c r="D61" s="115">
        <f>AVERAGE(D56:D60)</f>
        <v>0.0825</v>
      </c>
      <c r="E61" s="115">
        <f>AVERAGE(E56:E60)</f>
        <v>0.0875</v>
      </c>
      <c r="F61" s="115">
        <f>AVERAGE(F56:F60)</f>
        <v>0.09749999999999999</v>
      </c>
      <c r="G61" s="115">
        <f>AVERAGE(G56:G60)</f>
        <v>0.10999999999999999</v>
      </c>
      <c r="H61" s="114">
        <f>AVERAGE(H56:H60)</f>
        <v>0.125</v>
      </c>
    </row>
    <row r="63" ht="13.5" thickBot="1">
      <c r="B63" s="44" t="s">
        <v>66</v>
      </c>
    </row>
    <row r="64" spans="2:8" ht="13.5" thickBot="1">
      <c r="B64" s="113" t="s">
        <v>36</v>
      </c>
      <c r="C64" s="112">
        <v>0</v>
      </c>
      <c r="D64" s="111">
        <f>C64+50000</f>
        <v>50000</v>
      </c>
      <c r="E64" s="111">
        <f>D64+50000</f>
        <v>100000</v>
      </c>
      <c r="F64" s="111">
        <f>E64+50000</f>
        <v>150000</v>
      </c>
      <c r="G64" s="111">
        <f>F64+50000</f>
        <v>200000</v>
      </c>
      <c r="H64" s="110">
        <f>G64+50000</f>
        <v>250000</v>
      </c>
    </row>
    <row r="65" spans="1:8" ht="12.75">
      <c r="A65" s="24">
        <v>20</v>
      </c>
      <c r="B65" s="106" t="s">
        <v>65</v>
      </c>
      <c r="C65" s="94"/>
      <c r="D65" s="94"/>
      <c r="E65" s="94"/>
      <c r="F65" s="94"/>
      <c r="G65" s="94"/>
      <c r="H65" s="105"/>
    </row>
    <row r="66" spans="2:8" ht="12.75">
      <c r="B66" s="106"/>
      <c r="C66" s="94"/>
      <c r="D66" s="108">
        <f>D17/($C22-D22)</f>
        <v>102.70000000000005</v>
      </c>
      <c r="E66" s="108">
        <f>E17/($C22-E22)</f>
        <v>105.57692307692304</v>
      </c>
      <c r="F66" s="109">
        <f>F17/($C22-F22)</f>
        <v>108.05555555555554</v>
      </c>
      <c r="G66" s="108">
        <f>G17/($C22-G22)</f>
        <v>107.58620689655173</v>
      </c>
      <c r="H66" s="107">
        <f>H17/($C22-H22)</f>
        <v>105.46875</v>
      </c>
    </row>
    <row r="67" spans="1:8" ht="12.75">
      <c r="A67" s="24">
        <v>45</v>
      </c>
      <c r="B67" s="106" t="s">
        <v>64</v>
      </c>
      <c r="C67" s="94"/>
      <c r="D67" s="94"/>
      <c r="E67" s="94"/>
      <c r="F67" s="94"/>
      <c r="G67" s="94"/>
      <c r="H67" s="105"/>
    </row>
    <row r="68" spans="2:8" ht="13.5" thickBot="1">
      <c r="B68" s="104"/>
      <c r="C68" s="88"/>
      <c r="D68" s="102">
        <f>50000/(C22-D22)</f>
        <v>102.70000000000005</v>
      </c>
      <c r="E68" s="102">
        <f>50000/(D22-E22)</f>
        <v>108.61967326808957</v>
      </c>
      <c r="F68" s="103">
        <f>50000/(E22-F22)</f>
        <v>113.37916755149716</v>
      </c>
      <c r="G68" s="102">
        <f>50000/(F22-G22)</f>
        <v>106.20231011550584</v>
      </c>
      <c r="H68" s="101">
        <f>50000/(G22-H22)</f>
        <v>97.77158774373257</v>
      </c>
    </row>
    <row r="69" spans="2:8" ht="12.75">
      <c r="B69" s="49"/>
      <c r="C69" s="49"/>
      <c r="D69" s="49"/>
      <c r="E69" s="49"/>
      <c r="F69" s="49"/>
      <c r="G69" s="49"/>
      <c r="H69" s="49"/>
    </row>
    <row r="70" spans="2:8" ht="12.75">
      <c r="B70" s="100" t="s">
        <v>63</v>
      </c>
      <c r="C70" s="49"/>
      <c r="D70" s="49"/>
      <c r="E70" s="49"/>
      <c r="F70" s="49"/>
      <c r="G70" s="49"/>
      <c r="H70" s="49"/>
    </row>
    <row r="71" spans="1:8" ht="12.75">
      <c r="A71" s="24">
        <v>40</v>
      </c>
      <c r="B71" s="49" t="s">
        <v>62</v>
      </c>
      <c r="C71" s="91">
        <f>C30</f>
        <v>500000</v>
      </c>
      <c r="D71" s="91">
        <f>C71</f>
        <v>500000</v>
      </c>
      <c r="E71" s="91">
        <f>D71</f>
        <v>500000</v>
      </c>
      <c r="F71" s="91">
        <f>E71</f>
        <v>500000</v>
      </c>
      <c r="G71" s="91">
        <f>F71</f>
        <v>500000</v>
      </c>
      <c r="H71" s="91">
        <f>G71</f>
        <v>500000</v>
      </c>
    </row>
    <row r="72" spans="1:8" ht="12.75">
      <c r="A72" s="24">
        <v>41</v>
      </c>
      <c r="B72" s="49" t="s">
        <v>61</v>
      </c>
      <c r="C72" s="90">
        <f>C30</f>
        <v>500000</v>
      </c>
      <c r="D72" s="90">
        <f>D30</f>
        <v>513500</v>
      </c>
      <c r="E72" s="90">
        <f>E30</f>
        <v>527884.6153846154</v>
      </c>
      <c r="F72" s="90">
        <f>F30</f>
        <v>540277.7777777778</v>
      </c>
      <c r="G72" s="90">
        <f>G30</f>
        <v>537931.0344827587</v>
      </c>
      <c r="H72" s="90">
        <f>H30</f>
        <v>527343.75</v>
      </c>
    </row>
    <row r="73" spans="1:8" ht="12.75">
      <c r="A73" s="24">
        <v>42</v>
      </c>
      <c r="B73" s="49" t="s">
        <v>60</v>
      </c>
      <c r="C73" s="91">
        <f>C72-C71</f>
        <v>0</v>
      </c>
      <c r="D73" s="91">
        <f>D72-D71</f>
        <v>13500</v>
      </c>
      <c r="E73" s="91">
        <f>E72-E71</f>
        <v>27884.615384615376</v>
      </c>
      <c r="F73" s="91">
        <f>F72-F71</f>
        <v>40277.77777777775</v>
      </c>
      <c r="G73" s="91">
        <f>G72-G71</f>
        <v>37931.034482758725</v>
      </c>
      <c r="H73" s="91">
        <f>H72-H71</f>
        <v>27343.75</v>
      </c>
    </row>
    <row r="74" spans="1:8" ht="12.75">
      <c r="A74" s="24">
        <v>43</v>
      </c>
      <c r="B74" s="49" t="s">
        <v>59</v>
      </c>
      <c r="C74" s="49">
        <v>0</v>
      </c>
      <c r="D74" s="91">
        <f>$C8-D8</f>
        <v>2062.5</v>
      </c>
      <c r="E74" s="91">
        <f>$C8-E8</f>
        <v>4375</v>
      </c>
      <c r="F74" s="91">
        <f>$C8-F8</f>
        <v>7312.5</v>
      </c>
      <c r="G74" s="91">
        <f>$C8-G8</f>
        <v>11000</v>
      </c>
      <c r="H74" s="91">
        <f>$C8-H8</f>
        <v>15625</v>
      </c>
    </row>
    <row r="75" spans="1:8" ht="12.75">
      <c r="A75" s="24">
        <v>44</v>
      </c>
      <c r="B75" s="99" t="s">
        <v>58</v>
      </c>
      <c r="C75" s="99"/>
      <c r="D75" s="97">
        <f>D74/D73</f>
        <v>0.1527777777777778</v>
      </c>
      <c r="E75" s="97">
        <f>E74/E73</f>
        <v>0.156896551724138</v>
      </c>
      <c r="F75" s="97">
        <f>F74/F73</f>
        <v>0.18155172413793116</v>
      </c>
      <c r="G75" s="97">
        <f>G74/G73</f>
        <v>0.2899999999999992</v>
      </c>
      <c r="H75" s="97">
        <f>H74/H73</f>
        <v>0.5714285714285714</v>
      </c>
    </row>
    <row r="76" spans="2:8" ht="12.75">
      <c r="B76" s="49"/>
      <c r="C76" s="49"/>
      <c r="D76" s="49"/>
      <c r="E76" s="49"/>
      <c r="F76" s="49"/>
      <c r="G76" s="49"/>
      <c r="H76" s="49"/>
    </row>
    <row r="77" spans="1:8" ht="12.75">
      <c r="A77" s="24">
        <v>45</v>
      </c>
      <c r="B77" s="92" t="s">
        <v>57</v>
      </c>
      <c r="C77" s="49"/>
      <c r="D77" s="49"/>
      <c r="E77" s="49"/>
      <c r="F77" s="49"/>
      <c r="G77" s="49"/>
      <c r="H77" s="49"/>
    </row>
    <row r="78" spans="2:8" ht="12.75">
      <c r="B78" s="92" t="s">
        <v>56</v>
      </c>
      <c r="C78" s="49"/>
      <c r="D78" s="49"/>
      <c r="E78" s="49"/>
      <c r="F78" s="49"/>
      <c r="G78" s="49"/>
      <c r="H78" s="49"/>
    </row>
    <row r="79" spans="1:8" ht="12.75">
      <c r="A79" s="24">
        <v>46</v>
      </c>
      <c r="B79" s="98"/>
      <c r="C79" s="97">
        <f>(C13*C15+C12*C14*0.5)/(C15+C14*0.5)</f>
        <v>0.12</v>
      </c>
      <c r="D79" s="97">
        <f>(D13*D15+D12*D14*0.5)/(D15+D14*0.5)</f>
        <v>0.12282497441146366</v>
      </c>
      <c r="E79" s="97">
        <f>(E13*E15+E12*E14*0.5)/(E15+E14*0.5)</f>
        <v>0.1255533199195171</v>
      </c>
      <c r="F79" s="97">
        <f>(F13*F15+F12*F14*0.5)/(F15+F14*0.5)</f>
        <v>0.12895522388059702</v>
      </c>
      <c r="G79" s="97">
        <f>(G13*G15+G12*G14*0.5)/(G15+G14*0.5)</f>
        <v>0.13700787401574802</v>
      </c>
      <c r="H79" s="97">
        <f>(H13*H15+H12*H14*0.5)/(H15+H14*0.5)</f>
        <v>0.14912621359223302</v>
      </c>
    </row>
    <row r="81" spans="1:8" ht="13.5" thickBot="1">
      <c r="A81" s="95"/>
      <c r="B81" s="88" t="s">
        <v>55</v>
      </c>
      <c r="C81" s="93"/>
      <c r="D81" s="93">
        <f>D41-C41</f>
        <v>0.0028249744114636627</v>
      </c>
      <c r="E81" s="93">
        <f>E41-D41</f>
        <v>0.0027283455080534397</v>
      </c>
      <c r="F81" s="93">
        <f>F41-E41</f>
        <v>0.0034019039610799218</v>
      </c>
      <c r="G81" s="96">
        <f>G41-F41</f>
        <v>0.008052650135150968</v>
      </c>
      <c r="H81" s="96">
        <f>H41-G41</f>
        <v>0.012118339576485032</v>
      </c>
    </row>
    <row r="82" spans="1:8" ht="12.75">
      <c r="A82" s="95"/>
      <c r="B82" s="94"/>
      <c r="C82" s="93"/>
      <c r="D82" s="93"/>
      <c r="E82" s="93"/>
      <c r="F82" s="93"/>
      <c r="G82" s="93"/>
      <c r="H82" s="93"/>
    </row>
    <row r="83" spans="2:8" ht="12.75">
      <c r="B83" s="92" t="s">
        <v>54</v>
      </c>
      <c r="C83" s="49"/>
      <c r="D83" s="49"/>
      <c r="E83" s="49"/>
      <c r="F83" s="49"/>
      <c r="G83" s="49"/>
      <c r="H83" s="49"/>
    </row>
    <row r="84" spans="1:8" ht="12.75">
      <c r="A84" s="24">
        <v>47</v>
      </c>
      <c r="B84" s="49" t="s">
        <v>53</v>
      </c>
      <c r="C84" s="91">
        <f>C8</f>
        <v>60000</v>
      </c>
      <c r="D84" s="91">
        <f>D8</f>
        <v>57937.5</v>
      </c>
      <c r="E84" s="91">
        <f>E8</f>
        <v>55625</v>
      </c>
      <c r="F84" s="91">
        <f>F8</f>
        <v>52687.5</v>
      </c>
      <c r="G84" s="91">
        <f>G8</f>
        <v>49000</v>
      </c>
      <c r="H84" s="91">
        <f>H8</f>
        <v>44375</v>
      </c>
    </row>
    <row r="85" spans="1:8" ht="12.75">
      <c r="A85" s="24">
        <v>48</v>
      </c>
      <c r="B85" s="49" t="s">
        <v>52</v>
      </c>
      <c r="C85" s="91">
        <f>C6</f>
        <v>0</v>
      </c>
      <c r="D85" s="91">
        <f>D6</f>
        <v>4125</v>
      </c>
      <c r="E85" s="91">
        <f>E6</f>
        <v>8750</v>
      </c>
      <c r="F85" s="91">
        <f>F6</f>
        <v>14625</v>
      </c>
      <c r="G85" s="91">
        <f>G6</f>
        <v>22000</v>
      </c>
      <c r="H85" s="91">
        <f>H6</f>
        <v>31250</v>
      </c>
    </row>
    <row r="86" spans="1:8" ht="12.75">
      <c r="A86" s="24">
        <v>49</v>
      </c>
      <c r="B86" s="49" t="s">
        <v>51</v>
      </c>
      <c r="C86" s="90">
        <f>C10</f>
        <v>60000</v>
      </c>
      <c r="D86" s="90">
        <f>D10</f>
        <v>57937.5</v>
      </c>
      <c r="E86" s="90">
        <f>E10</f>
        <v>55625</v>
      </c>
      <c r="F86" s="90">
        <f>F10</f>
        <v>52687.5</v>
      </c>
      <c r="G86" s="90">
        <f>G10</f>
        <v>49000</v>
      </c>
      <c r="H86" s="90">
        <f>H10</f>
        <v>44375</v>
      </c>
    </row>
    <row r="87" spans="1:8" ht="13.5" thickBot="1">
      <c r="A87" s="89">
        <v>50</v>
      </c>
      <c r="B87" s="88" t="s">
        <v>50</v>
      </c>
      <c r="C87" s="87">
        <f>SUM(C84:C86)</f>
        <v>120000</v>
      </c>
      <c r="D87" s="87">
        <f>SUM(D84:D86)</f>
        <v>120000</v>
      </c>
      <c r="E87" s="87">
        <f>SUM(E84:E86)</f>
        <v>120000</v>
      </c>
      <c r="F87" s="87">
        <f>SUM(F84:F86)</f>
        <v>120000</v>
      </c>
      <c r="G87" s="87">
        <f>SUM(G84:G86)</f>
        <v>120000</v>
      </c>
      <c r="H87" s="87">
        <f>SUM(H84:H86)</f>
        <v>120000</v>
      </c>
    </row>
    <row r="90" ht="13.5" thickBot="1">
      <c r="B90" s="44" t="s">
        <v>49</v>
      </c>
    </row>
    <row r="91" spans="1:10" ht="12.75">
      <c r="A91" s="48"/>
      <c r="B91" s="68" t="s">
        <v>36</v>
      </c>
      <c r="C91" s="67">
        <v>0</v>
      </c>
      <c r="D91" s="66">
        <f>C91+50000</f>
        <v>50000</v>
      </c>
      <c r="E91" s="66">
        <f>D91+50000</f>
        <v>100000</v>
      </c>
      <c r="F91" s="66">
        <f>E91+50000</f>
        <v>150000</v>
      </c>
      <c r="G91" s="66">
        <f>F91+50000</f>
        <v>200000</v>
      </c>
      <c r="H91" s="65">
        <f>G91+50000</f>
        <v>250000</v>
      </c>
      <c r="I91" s="45"/>
      <c r="J91" s="45"/>
    </row>
    <row r="92" spans="1:10" ht="13.5">
      <c r="A92" s="86">
        <v>10</v>
      </c>
      <c r="B92" s="85" t="s">
        <v>48</v>
      </c>
      <c r="C92" s="84">
        <f>C13</f>
        <v>0.12</v>
      </c>
      <c r="D92" s="84">
        <f>D13</f>
        <v>0.125</v>
      </c>
      <c r="E92" s="84">
        <f>E13</f>
        <v>0.13</v>
      </c>
      <c r="F92" s="84">
        <f>F13</f>
        <v>0.135</v>
      </c>
      <c r="G92" s="84">
        <f>G13</f>
        <v>0.145</v>
      </c>
      <c r="H92" s="83">
        <f>H13</f>
        <v>0.16</v>
      </c>
      <c r="I92" s="32"/>
      <c r="J92" s="32"/>
    </row>
    <row r="93" spans="1:10" ht="13.5">
      <c r="A93" s="64"/>
      <c r="B93" s="82" t="s">
        <v>47</v>
      </c>
      <c r="C93" s="81"/>
      <c r="D93" s="81"/>
      <c r="E93" s="81"/>
      <c r="F93" s="81"/>
      <c r="G93" s="80"/>
      <c r="H93" s="75"/>
      <c r="I93" s="32"/>
      <c r="J93" s="32"/>
    </row>
    <row r="94" spans="1:10" ht="13.5">
      <c r="A94" s="79">
        <v>41</v>
      </c>
      <c r="B94" s="78" t="s">
        <v>46</v>
      </c>
      <c r="C94" s="77">
        <f>C86-D86</f>
        <v>2062.5</v>
      </c>
      <c r="D94" s="77">
        <f>D86-E86</f>
        <v>2312.5</v>
      </c>
      <c r="E94" s="77">
        <f>E86-F86</f>
        <v>2937.5</v>
      </c>
      <c r="F94" s="77">
        <f>F86-G86</f>
        <v>3687.5</v>
      </c>
      <c r="G94" s="76">
        <f>G86-H86</f>
        <v>4625</v>
      </c>
      <c r="H94" s="75"/>
      <c r="I94" s="32"/>
      <c r="J94" s="32"/>
    </row>
    <row r="95" spans="1:10" ht="14.25" thickBot="1">
      <c r="A95" s="60">
        <v>42</v>
      </c>
      <c r="B95" s="74" t="s">
        <v>45</v>
      </c>
      <c r="C95" s="73">
        <f>C94/(C86/C92-D86/D92)</f>
        <v>0.05650684931506849</v>
      </c>
      <c r="D95" s="73">
        <f>D94/(D86/D92-E86/E92)</f>
        <v>0.06492980561555074</v>
      </c>
      <c r="E95" s="73">
        <f>E94/(E86/E92-F86/F92)</f>
        <v>0.07811079545454543</v>
      </c>
      <c r="F95" s="73">
        <f>F94/(F86/F92-G86/G92)</f>
        <v>0.07044373284537979</v>
      </c>
      <c r="G95" s="72">
        <f>G94/(G86/G92-H86/H92)</f>
        <v>0.07633614939973316</v>
      </c>
      <c r="H95" s="71"/>
      <c r="I95" s="32"/>
      <c r="J95" s="32"/>
    </row>
    <row r="96" spans="1:10" ht="13.5">
      <c r="A96" s="53"/>
      <c r="B96" s="70"/>
      <c r="C96" s="69"/>
      <c r="D96" s="69"/>
      <c r="E96" s="69"/>
      <c r="F96" s="69"/>
      <c r="G96" s="69"/>
      <c r="H96" s="32"/>
      <c r="I96" s="32"/>
      <c r="J96" s="32"/>
    </row>
    <row r="97" spans="1:10" ht="13.5">
      <c r="A97" s="53"/>
      <c r="B97" s="70"/>
      <c r="C97" s="69"/>
      <c r="D97" s="69"/>
      <c r="E97" s="69"/>
      <c r="F97" s="69"/>
      <c r="G97" s="69"/>
      <c r="H97" s="32"/>
      <c r="I97" s="32"/>
      <c r="J97" s="32"/>
    </row>
    <row r="98" spans="1:10" ht="14.25" thickBot="1">
      <c r="A98" s="53"/>
      <c r="B98" s="44" t="s">
        <v>44</v>
      </c>
      <c r="C98" s="69"/>
      <c r="D98" s="69"/>
      <c r="E98" s="69"/>
      <c r="F98" s="69"/>
      <c r="G98" s="69"/>
      <c r="H98" s="32"/>
      <c r="I98" s="32"/>
      <c r="J98" s="32"/>
    </row>
    <row r="99" spans="1:10" ht="12.75">
      <c r="A99" s="48"/>
      <c r="B99" s="68" t="s">
        <v>36</v>
      </c>
      <c r="C99" s="67">
        <v>0</v>
      </c>
      <c r="D99" s="66">
        <f>C99+50000</f>
        <v>50000</v>
      </c>
      <c r="E99" s="66">
        <f>D99+50000</f>
        <v>100000</v>
      </c>
      <c r="F99" s="66">
        <f>E99+50000</f>
        <v>150000</v>
      </c>
      <c r="G99" s="66">
        <f>F99+50000</f>
        <v>200000</v>
      </c>
      <c r="H99" s="65">
        <f>G99+50000</f>
        <v>250000</v>
      </c>
      <c r="I99" s="45"/>
      <c r="J99" s="45"/>
    </row>
    <row r="100" spans="1:10" ht="13.5">
      <c r="A100" s="64">
        <v>46</v>
      </c>
      <c r="B100" s="63" t="s">
        <v>43</v>
      </c>
      <c r="C100" s="62">
        <v>0</v>
      </c>
      <c r="D100" s="62">
        <f>(D6-D102*D14)/(D14+D6)</f>
        <v>0.00046189376443418013</v>
      </c>
      <c r="E100" s="62">
        <f>(E6-E102*E14)/(E14+E6)</f>
        <v>0.0030344827586206895</v>
      </c>
      <c r="F100" s="62">
        <f>(F6-F102*F14)/(F14+F6)</f>
        <v>0.009840546697038724</v>
      </c>
      <c r="G100" s="62">
        <f>(G6-G102*G14)/(G14+G6)</f>
        <v>0.0181981981981982</v>
      </c>
      <c r="H100" s="61">
        <f>(H6-H102*H14)/(H14+H6)</f>
        <v>0.02808888888888889</v>
      </c>
      <c r="I100" s="32"/>
      <c r="J100" s="32"/>
    </row>
    <row r="101" spans="1:10" ht="13.5">
      <c r="A101" s="60">
        <v>47</v>
      </c>
      <c r="B101" s="59" t="s">
        <v>42</v>
      </c>
      <c r="C101" s="58">
        <f>(C86-C103*C15)/(C10+C15)</f>
        <v>0</v>
      </c>
      <c r="D101" s="58">
        <f>(D86-D103*D15)/(D10+D15)</f>
        <v>0.0026666666666666527</v>
      </c>
      <c r="E101" s="58">
        <f>(E86-E103*E15)/(E10+E15)</f>
        <v>0.0051327433628318665</v>
      </c>
      <c r="F101" s="58">
        <f>(F86-F103*F15)/(F10+F15)</f>
        <v>0.0073127753303965076</v>
      </c>
      <c r="G101" s="58">
        <f>(G86-G103*G15)/(G10+G15)</f>
        <v>0.013275109170305685</v>
      </c>
      <c r="H101" s="57">
        <f>(H86-H103*H15)/(H10+H15)</f>
        <v>0.022931034482758645</v>
      </c>
      <c r="I101" s="32"/>
      <c r="J101" s="32"/>
    </row>
    <row r="102" spans="1:10" ht="13.5">
      <c r="A102" s="53"/>
      <c r="B102" s="56" t="s">
        <v>41</v>
      </c>
      <c r="C102" s="55">
        <v>0.08</v>
      </c>
      <c r="D102" s="55">
        <v>0.082</v>
      </c>
      <c r="E102" s="55">
        <v>0.0842</v>
      </c>
      <c r="F102" s="55">
        <v>0.0867</v>
      </c>
      <c r="G102" s="55">
        <v>0.0898</v>
      </c>
      <c r="H102" s="54">
        <v>0.0934</v>
      </c>
      <c r="I102" s="32"/>
      <c r="J102" s="32"/>
    </row>
    <row r="103" spans="1:10" ht="14.25" thickBot="1">
      <c r="A103" s="53"/>
      <c r="B103" s="52" t="s">
        <v>40</v>
      </c>
      <c r="C103" s="51">
        <v>0.12</v>
      </c>
      <c r="D103" s="51">
        <f>C103+D102-C102</f>
        <v>0.12200000000000001</v>
      </c>
      <c r="E103" s="51">
        <f>D103+E102-D102</f>
        <v>0.12419999999999999</v>
      </c>
      <c r="F103" s="51">
        <f>E103+F102-E102</f>
        <v>0.12669999999999998</v>
      </c>
      <c r="G103" s="51">
        <f>F103+G102-F102</f>
        <v>0.12979999999999997</v>
      </c>
      <c r="H103" s="50">
        <f>G103+H102-G102</f>
        <v>0.13339999999999996</v>
      </c>
      <c r="I103" s="32"/>
      <c r="J103" s="32"/>
    </row>
    <row r="104" spans="2:8" ht="12.75">
      <c r="B104" s="49"/>
      <c r="C104" s="49"/>
      <c r="D104" s="49"/>
      <c r="E104" s="49"/>
      <c r="F104" s="49"/>
      <c r="G104" s="49"/>
      <c r="H104" s="49"/>
    </row>
    <row r="105" spans="2:8" ht="12.75">
      <c r="B105" s="49"/>
      <c r="C105" s="49"/>
      <c r="D105" s="49"/>
      <c r="E105" s="49"/>
      <c r="F105" s="49"/>
      <c r="G105" s="49"/>
      <c r="H105" s="49"/>
    </row>
    <row r="106" spans="2:8" ht="12.75">
      <c r="B106" s="49"/>
      <c r="C106" s="49"/>
      <c r="D106" s="49"/>
      <c r="E106" s="49"/>
      <c r="F106" s="49"/>
      <c r="G106" s="49"/>
      <c r="H106" s="49"/>
    </row>
    <row r="107" spans="2:8" ht="12.75">
      <c r="B107" s="49"/>
      <c r="C107" s="49"/>
      <c r="D107" s="49"/>
      <c r="E107" s="49"/>
      <c r="F107" s="49"/>
      <c r="G107" s="49"/>
      <c r="H107" s="49"/>
    </row>
    <row r="108" spans="1:10" ht="12.75">
      <c r="A108" s="48"/>
      <c r="B108" s="47" t="s">
        <v>36</v>
      </c>
      <c r="C108" s="47">
        <v>0</v>
      </c>
      <c r="D108" s="46">
        <f>C108+50000</f>
        <v>50000</v>
      </c>
      <c r="E108" s="46">
        <f>D108+50000</f>
        <v>100000</v>
      </c>
      <c r="F108" s="46">
        <f>E108+50000</f>
        <v>150000</v>
      </c>
      <c r="G108" s="46">
        <f>F108+50000</f>
        <v>200000</v>
      </c>
      <c r="H108" s="46">
        <f>G108+50000</f>
        <v>250000</v>
      </c>
      <c r="I108" s="45"/>
      <c r="J108" s="45"/>
    </row>
    <row r="109" spans="2:8" ht="12.75">
      <c r="B109" s="24" t="s">
        <v>39</v>
      </c>
      <c r="D109" s="43">
        <f>D12-C12</f>
        <v>0.0025000000000000022</v>
      </c>
      <c r="E109" s="43">
        <f>E12-D12</f>
        <v>0.0049999999999999906</v>
      </c>
      <c r="F109" s="43">
        <f>F12-E12</f>
        <v>0.010000000000000009</v>
      </c>
      <c r="G109" s="43">
        <f>G12-F12</f>
        <v>0.012499999999999997</v>
      </c>
      <c r="H109" s="43">
        <f>H12-G12</f>
        <v>0.015</v>
      </c>
    </row>
    <row r="110" spans="2:8" ht="12.75">
      <c r="B110" s="24" t="s">
        <v>38</v>
      </c>
      <c r="D110" s="43">
        <f>D13-C13</f>
        <v>0.0050000000000000044</v>
      </c>
      <c r="E110" s="43">
        <f>E13-D13</f>
        <v>0.0050000000000000044</v>
      </c>
      <c r="F110" s="43">
        <f>F13-E13</f>
        <v>0.0050000000000000044</v>
      </c>
      <c r="G110" s="43">
        <f>G13-F13</f>
        <v>0.009999999999999981</v>
      </c>
      <c r="H110" s="43">
        <f>H13-G13</f>
        <v>0.015000000000000013</v>
      </c>
    </row>
    <row r="111" spans="2:8" ht="12.75">
      <c r="B111" s="24"/>
      <c r="D111" s="43"/>
      <c r="E111" s="43"/>
      <c r="F111" s="43"/>
      <c r="G111" s="43"/>
      <c r="H111" s="43"/>
    </row>
    <row r="112" spans="2:8" ht="13.5" thickBot="1">
      <c r="B112" s="44" t="s">
        <v>37</v>
      </c>
      <c r="D112" s="43"/>
      <c r="E112" s="43"/>
      <c r="F112" s="43"/>
      <c r="G112" s="43"/>
      <c r="H112" s="43"/>
    </row>
    <row r="113" spans="1:10" ht="13.5">
      <c r="A113" s="42"/>
      <c r="B113" s="41" t="s">
        <v>36</v>
      </c>
      <c r="C113" s="40">
        <v>0</v>
      </c>
      <c r="D113" s="39">
        <f>C113+50000</f>
        <v>50000</v>
      </c>
      <c r="E113" s="39">
        <f>D113+50000</f>
        <v>100000</v>
      </c>
      <c r="F113" s="39">
        <f>E113+50000</f>
        <v>150000</v>
      </c>
      <c r="G113" s="39">
        <f>F113+50000</f>
        <v>200000</v>
      </c>
      <c r="H113" s="38">
        <f>G113+50000</f>
        <v>250000</v>
      </c>
      <c r="I113" s="37"/>
      <c r="J113" s="37"/>
    </row>
    <row r="114" spans="1:10" ht="13.5">
      <c r="A114" s="36">
        <v>43</v>
      </c>
      <c r="B114" s="35" t="s">
        <v>35</v>
      </c>
      <c r="C114" s="34">
        <f>C13-C12</f>
        <v>0.039999999999999994</v>
      </c>
      <c r="D114" s="34">
        <f>D13-D12</f>
        <v>0.042499999999999996</v>
      </c>
      <c r="E114" s="34">
        <f>E13-E12</f>
        <v>0.04250000000000001</v>
      </c>
      <c r="F114" s="34">
        <f>F13-F12</f>
        <v>0.037500000000000006</v>
      </c>
      <c r="G114" s="34">
        <f>G13-G12</f>
        <v>0.03499999999999999</v>
      </c>
      <c r="H114" s="33">
        <f>H13-H12</f>
        <v>0.035</v>
      </c>
      <c r="I114" s="32"/>
      <c r="J114" s="32"/>
    </row>
    <row r="115" spans="1:10" ht="14.25" thickBot="1">
      <c r="A115" s="31">
        <v>44</v>
      </c>
      <c r="B115" s="30" t="s">
        <v>34</v>
      </c>
      <c r="C115" s="29">
        <f>C13-C12*0.5</f>
        <v>0.07999999999999999</v>
      </c>
      <c r="D115" s="29">
        <f>D13-D12*0.5</f>
        <v>0.08374999999999999</v>
      </c>
      <c r="E115" s="29">
        <f>E13-E12*0.5</f>
        <v>0.08625000000000001</v>
      </c>
      <c r="F115" s="29">
        <f>F13-F12*0.5</f>
        <v>0.08625000000000001</v>
      </c>
      <c r="G115" s="29">
        <f>G13-G12*0.5</f>
        <v>0.09</v>
      </c>
      <c r="H115" s="28">
        <f>H13-H12*0.5</f>
        <v>0.0975</v>
      </c>
      <c r="I115" s="27"/>
      <c r="J115" s="27"/>
    </row>
    <row r="116" spans="2:8" ht="12.75">
      <c r="B116" s="26"/>
      <c r="C116" s="25"/>
      <c r="D116" s="25"/>
      <c r="E116" s="25"/>
      <c r="F116" s="25"/>
      <c r="G116" s="25"/>
      <c r="H116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.875" style="14" customWidth="1"/>
    <col min="2" max="2" width="28.125" style="0" customWidth="1"/>
    <col min="3" max="8" width="8.875" style="0" customWidth="1"/>
    <col min="9" max="9" width="7.125" style="0" customWidth="1"/>
  </cols>
  <sheetData>
    <row r="1" spans="1:8" ht="15.75">
      <c r="A1" s="20" t="s">
        <v>116</v>
      </c>
      <c r="B1" s="1"/>
      <c r="C1" s="267" t="s">
        <v>191</v>
      </c>
      <c r="D1" s="1"/>
      <c r="E1" s="1"/>
      <c r="F1" s="1"/>
      <c r="G1" s="1"/>
      <c r="H1" s="1"/>
    </row>
    <row r="2" spans="2:8" ht="12.75">
      <c r="B2" s="1" t="s">
        <v>2</v>
      </c>
      <c r="C2" s="1"/>
      <c r="D2" s="1"/>
      <c r="E2" s="1"/>
      <c r="F2" s="1"/>
      <c r="G2" s="1"/>
      <c r="H2" s="1"/>
    </row>
    <row r="3" spans="3:8" ht="13.5" thickBot="1">
      <c r="C3" s="2">
        <v>0</v>
      </c>
      <c r="D3" s="2">
        <v>0.1</v>
      </c>
      <c r="E3" s="2">
        <v>0.2</v>
      </c>
      <c r="F3" s="2">
        <v>0.3</v>
      </c>
      <c r="G3" s="2">
        <v>0.4</v>
      </c>
      <c r="H3" s="2">
        <v>0.5</v>
      </c>
    </row>
    <row r="4" spans="1:11" ht="12.75">
      <c r="A4" s="266">
        <v>1</v>
      </c>
      <c r="B4" s="265" t="s">
        <v>0</v>
      </c>
      <c r="C4" s="264">
        <v>0</v>
      </c>
      <c r="D4" s="264">
        <v>0.1</v>
      </c>
      <c r="E4" s="264">
        <v>0.2</v>
      </c>
      <c r="F4" s="264">
        <v>0.3</v>
      </c>
      <c r="G4" s="264">
        <v>0.4</v>
      </c>
      <c r="H4" s="263">
        <v>0.5</v>
      </c>
      <c r="I4" s="23"/>
      <c r="J4" s="23"/>
      <c r="K4" s="23"/>
    </row>
    <row r="5" spans="1:11" ht="12.75">
      <c r="A5" s="238">
        <v>2</v>
      </c>
      <c r="B5" s="94" t="s">
        <v>3</v>
      </c>
      <c r="C5" s="125">
        <v>120000</v>
      </c>
      <c r="D5" s="125">
        <v>120000</v>
      </c>
      <c r="E5" s="125">
        <v>120000</v>
      </c>
      <c r="F5" s="125">
        <v>120000</v>
      </c>
      <c r="G5" s="125">
        <v>120000</v>
      </c>
      <c r="H5" s="237">
        <v>120000</v>
      </c>
      <c r="I5" s="23"/>
      <c r="J5" s="23"/>
      <c r="K5" s="23"/>
    </row>
    <row r="6" spans="1:11" ht="12.75">
      <c r="A6" s="238">
        <v>3</v>
      </c>
      <c r="B6" s="94" t="s">
        <v>4</v>
      </c>
      <c r="C6" s="125">
        <f>C12*C18</f>
        <v>0</v>
      </c>
      <c r="D6" s="125">
        <f>D12*D18</f>
        <v>4125</v>
      </c>
      <c r="E6" s="125">
        <f>E12*E18</f>
        <v>8750</v>
      </c>
      <c r="F6" s="125">
        <f>F12*F18</f>
        <v>14625</v>
      </c>
      <c r="G6" s="125">
        <f>G12*G18</f>
        <v>22000</v>
      </c>
      <c r="H6" s="237">
        <f>H12*H18</f>
        <v>31250</v>
      </c>
      <c r="I6" s="23"/>
      <c r="J6" s="23"/>
      <c r="K6" s="23"/>
    </row>
    <row r="7" spans="1:11" ht="12.75">
      <c r="A7" s="238">
        <v>4</v>
      </c>
      <c r="B7" s="94" t="s">
        <v>5</v>
      </c>
      <c r="C7" s="125">
        <f>C5-C6</f>
        <v>120000</v>
      </c>
      <c r="D7" s="125">
        <f>D5-D6</f>
        <v>115875</v>
      </c>
      <c r="E7" s="125">
        <f>E5-E6</f>
        <v>111250</v>
      </c>
      <c r="F7" s="125">
        <f>F5-F6</f>
        <v>105375</v>
      </c>
      <c r="G7" s="125">
        <f>G5-G6</f>
        <v>98000</v>
      </c>
      <c r="H7" s="237">
        <f>H5-H6</f>
        <v>88750</v>
      </c>
      <c r="I7" s="23"/>
      <c r="J7" s="23"/>
      <c r="K7" s="23"/>
    </row>
    <row r="8" spans="1:11" ht="12.75">
      <c r="A8" s="238">
        <v>5</v>
      </c>
      <c r="B8" s="94" t="s">
        <v>6</v>
      </c>
      <c r="C8" s="125">
        <f>C7*0.5</f>
        <v>60000</v>
      </c>
      <c r="D8" s="125">
        <f>D7*0.5</f>
        <v>57937.5</v>
      </c>
      <c r="E8" s="125">
        <f>E7*0.5</f>
        <v>55625</v>
      </c>
      <c r="F8" s="125">
        <f>F7*0.5</f>
        <v>52687.5</v>
      </c>
      <c r="G8" s="125">
        <f>G7*0.5</f>
        <v>49000</v>
      </c>
      <c r="H8" s="237">
        <f>H7*0.5</f>
        <v>44375</v>
      </c>
      <c r="I8" s="23"/>
      <c r="J8" s="23"/>
      <c r="K8" s="23"/>
    </row>
    <row r="9" spans="1:11" ht="12.75">
      <c r="A9" s="238">
        <v>6</v>
      </c>
      <c r="B9" s="94" t="s">
        <v>7</v>
      </c>
      <c r="C9" s="125">
        <f>C7-C8</f>
        <v>60000</v>
      </c>
      <c r="D9" s="125">
        <f>D7-D8</f>
        <v>57937.5</v>
      </c>
      <c r="E9" s="125">
        <f>E7-E8</f>
        <v>55625</v>
      </c>
      <c r="F9" s="125">
        <f>F7-F8</f>
        <v>52687.5</v>
      </c>
      <c r="G9" s="125">
        <f>G7-G8</f>
        <v>49000</v>
      </c>
      <c r="H9" s="237">
        <f>H7-H8</f>
        <v>44375</v>
      </c>
      <c r="I9" s="23"/>
      <c r="J9" s="23"/>
      <c r="K9" s="23"/>
    </row>
    <row r="10" spans="1:11" ht="12.75">
      <c r="A10" s="238">
        <v>7</v>
      </c>
      <c r="B10" s="94" t="s">
        <v>31</v>
      </c>
      <c r="C10" s="125">
        <f>C9</f>
        <v>60000</v>
      </c>
      <c r="D10" s="125">
        <f>D9</f>
        <v>57937.5</v>
      </c>
      <c r="E10" s="125">
        <f>E9</f>
        <v>55625</v>
      </c>
      <c r="F10" s="125">
        <f>F9</f>
        <v>52687.5</v>
      </c>
      <c r="G10" s="125">
        <f>G9</f>
        <v>49000</v>
      </c>
      <c r="H10" s="237">
        <f>H9</f>
        <v>44375</v>
      </c>
      <c r="I10" s="23"/>
      <c r="J10" s="23"/>
      <c r="K10" s="23"/>
    </row>
    <row r="11" spans="1:11" ht="13.5" thickBot="1">
      <c r="A11" s="247">
        <v>8</v>
      </c>
      <c r="B11" s="88" t="s">
        <v>8</v>
      </c>
      <c r="C11" s="87">
        <f>C10+C6</f>
        <v>60000</v>
      </c>
      <c r="D11" s="87">
        <f>D10+D6</f>
        <v>62062.5</v>
      </c>
      <c r="E11" s="87">
        <f>E10+E6</f>
        <v>64375</v>
      </c>
      <c r="F11" s="87">
        <f>F10+F6</f>
        <v>67312.5</v>
      </c>
      <c r="G11" s="87">
        <f>G10+G6</f>
        <v>71000</v>
      </c>
      <c r="H11" s="246">
        <f>H10+H6</f>
        <v>75625</v>
      </c>
      <c r="I11" s="23"/>
      <c r="J11" s="23"/>
      <c r="K11" s="23"/>
    </row>
    <row r="12" spans="1:11" ht="12.75">
      <c r="A12" s="238">
        <v>9</v>
      </c>
      <c r="B12" s="126" t="s">
        <v>115</v>
      </c>
      <c r="C12" s="262">
        <v>0.08</v>
      </c>
      <c r="D12" s="262">
        <v>0.0825</v>
      </c>
      <c r="E12" s="262">
        <v>0.0875</v>
      </c>
      <c r="F12" s="262">
        <v>0.0975</v>
      </c>
      <c r="G12" s="262">
        <v>0.11</v>
      </c>
      <c r="H12" s="117">
        <v>0.125</v>
      </c>
      <c r="I12" s="23"/>
      <c r="J12" s="23"/>
      <c r="K12" s="23"/>
    </row>
    <row r="13" spans="1:11" ht="12.75">
      <c r="A13" s="238" t="s">
        <v>114</v>
      </c>
      <c r="B13" s="126" t="s">
        <v>113</v>
      </c>
      <c r="C13" s="262">
        <f>0.08+C15*0.5*(0.12-0.08)/(C16+C15*0.5)</f>
        <v>0.08</v>
      </c>
      <c r="D13" s="262">
        <f>0.08+D15*0.5*(0.12-0.08)/(D16+D15*0.5)</f>
        <v>0.08201190307520001</v>
      </c>
      <c r="E13" s="262">
        <f>0.08+E15*0.5*(0.12-0.08)/(E16+E15*0.5)</f>
        <v>0.08415880433163923</v>
      </c>
      <c r="F13" s="262">
        <f>0.08+F15*0.5*(0.12-0.08)/(F16+F15*0.5)</f>
        <v>0.08674398357008098</v>
      </c>
      <c r="G13" s="262">
        <f>0.08+G15*0.5*(0.12-0.08)/(G16+G15*0.5)</f>
        <v>0.08979959839195492</v>
      </c>
      <c r="H13" s="117">
        <f>0.08+H15*0.5*(0.12-0.08)/(H16+H15*0.5)</f>
        <v>0.09338539126015656</v>
      </c>
      <c r="I13" s="23"/>
      <c r="J13" s="23"/>
      <c r="K13" s="23"/>
    </row>
    <row r="14" spans="1:11" ht="13.5" thickBot="1">
      <c r="A14" s="247">
        <v>10</v>
      </c>
      <c r="B14" s="163" t="s">
        <v>10</v>
      </c>
      <c r="C14" s="261">
        <f>0.12+(C13-0.08)</f>
        <v>0.12</v>
      </c>
      <c r="D14" s="261">
        <f>0.12+(D13-0.08)</f>
        <v>0.1220119030752</v>
      </c>
      <c r="E14" s="261">
        <f>0.12+(E13-0.08)</f>
        <v>0.12415880433163923</v>
      </c>
      <c r="F14" s="261">
        <f>0.12+(F13-0.08)</f>
        <v>0.126743983570081</v>
      </c>
      <c r="G14" s="261">
        <f>0.12+(G13-0.08)</f>
        <v>0.12979959839195493</v>
      </c>
      <c r="H14" s="260">
        <f>0.12+(H13-0.08)</f>
        <v>0.13338539126015656</v>
      </c>
      <c r="I14" s="23"/>
      <c r="J14" s="23"/>
      <c r="K14" s="23"/>
    </row>
    <row r="15" spans="1:11" ht="12.75">
      <c r="A15" s="238">
        <v>11</v>
      </c>
      <c r="B15" s="94" t="s">
        <v>112</v>
      </c>
      <c r="C15" s="125">
        <f>C6/C13</f>
        <v>0</v>
      </c>
      <c r="D15" s="125">
        <f>D6/D13</f>
        <v>50297.57688000023</v>
      </c>
      <c r="E15" s="125">
        <f>E6/E13</f>
        <v>103970.10829098086</v>
      </c>
      <c r="F15" s="125">
        <f>F6/F13</f>
        <v>168599.58925202434</v>
      </c>
      <c r="G15" s="125">
        <f>G6/G13</f>
        <v>244989.95979887326</v>
      </c>
      <c r="H15" s="237">
        <f>H6/H13</f>
        <v>334634.78150391387</v>
      </c>
      <c r="I15" s="23"/>
      <c r="J15" s="23"/>
      <c r="K15" s="23"/>
    </row>
    <row r="16" spans="1:11" ht="12.75">
      <c r="A16" s="238">
        <v>12</v>
      </c>
      <c r="B16" s="94" t="s">
        <v>111</v>
      </c>
      <c r="C16" s="259">
        <f>C10/C14</f>
        <v>500000</v>
      </c>
      <c r="D16" s="259">
        <f>D10/D14</f>
        <v>474851.2115599999</v>
      </c>
      <c r="E16" s="259">
        <f>E10/E14</f>
        <v>448014.9458545096</v>
      </c>
      <c r="F16" s="259">
        <f>F10/F14</f>
        <v>415700.2053739878</v>
      </c>
      <c r="G16" s="259">
        <f>G10/G14</f>
        <v>377505.02010056336</v>
      </c>
      <c r="H16" s="258">
        <f>H10/H14</f>
        <v>332682.60924804304</v>
      </c>
      <c r="I16" s="23"/>
      <c r="J16" s="23"/>
      <c r="K16" s="23"/>
    </row>
    <row r="17" spans="1:11" ht="13.5" thickBot="1">
      <c r="A17" s="247">
        <v>13</v>
      </c>
      <c r="B17" s="88" t="s">
        <v>110</v>
      </c>
      <c r="C17" s="87">
        <f>C15+C16</f>
        <v>500000</v>
      </c>
      <c r="D17" s="87">
        <f>D15+D16</f>
        <v>525148.7884400001</v>
      </c>
      <c r="E17" s="87">
        <f>E15+E16</f>
        <v>551985.0541454905</v>
      </c>
      <c r="F17" s="87">
        <f>F15+F16</f>
        <v>584299.7946260121</v>
      </c>
      <c r="G17" s="87">
        <f>G15+G16</f>
        <v>622494.9798994366</v>
      </c>
      <c r="H17" s="246">
        <f>H15+H16</f>
        <v>667317.390751957</v>
      </c>
      <c r="I17" s="23"/>
      <c r="J17" s="23"/>
      <c r="K17" s="23"/>
    </row>
    <row r="18" spans="1:11" ht="12.75">
      <c r="A18" s="238">
        <v>14</v>
      </c>
      <c r="B18" s="94" t="s">
        <v>14</v>
      </c>
      <c r="C18" s="94">
        <v>0</v>
      </c>
      <c r="D18" s="125">
        <v>50000</v>
      </c>
      <c r="E18" s="125">
        <v>100000</v>
      </c>
      <c r="F18" s="125">
        <v>150000</v>
      </c>
      <c r="G18" s="125">
        <v>200000</v>
      </c>
      <c r="H18" s="237">
        <v>250000</v>
      </c>
      <c r="I18" s="23"/>
      <c r="J18" s="23"/>
      <c r="K18" s="23"/>
    </row>
    <row r="19" spans="1:11" ht="12.75">
      <c r="A19" s="238">
        <v>15</v>
      </c>
      <c r="B19" s="94" t="s">
        <v>15</v>
      </c>
      <c r="C19" s="259">
        <v>500000</v>
      </c>
      <c r="D19" s="259">
        <v>450000</v>
      </c>
      <c r="E19" s="259">
        <v>400000</v>
      </c>
      <c r="F19" s="259">
        <v>350000</v>
      </c>
      <c r="G19" s="259">
        <v>300000</v>
      </c>
      <c r="H19" s="258">
        <v>250000</v>
      </c>
      <c r="I19" s="23"/>
      <c r="J19" s="23"/>
      <c r="K19" s="23"/>
    </row>
    <row r="20" spans="1:11" ht="13.5" thickBot="1">
      <c r="A20" s="247">
        <v>16</v>
      </c>
      <c r="B20" s="88" t="s">
        <v>16</v>
      </c>
      <c r="C20" s="87">
        <v>500000</v>
      </c>
      <c r="D20" s="87">
        <v>500000</v>
      </c>
      <c r="E20" s="87">
        <v>500000</v>
      </c>
      <c r="F20" s="87">
        <v>500000</v>
      </c>
      <c r="G20" s="87">
        <v>500000</v>
      </c>
      <c r="H20" s="246">
        <v>500000</v>
      </c>
      <c r="I20" s="23"/>
      <c r="J20" s="23"/>
      <c r="K20" s="23"/>
    </row>
    <row r="21" spans="1:11" ht="12.75">
      <c r="A21" s="238">
        <v>17</v>
      </c>
      <c r="B21" s="94" t="s">
        <v>17</v>
      </c>
      <c r="C21" s="118">
        <v>0.12</v>
      </c>
      <c r="D21" s="118">
        <v>0.12</v>
      </c>
      <c r="E21" s="118">
        <v>0.12</v>
      </c>
      <c r="F21" s="118">
        <v>0.12</v>
      </c>
      <c r="G21" s="118">
        <v>0.12</v>
      </c>
      <c r="H21" s="120">
        <v>0.12</v>
      </c>
      <c r="I21" s="23"/>
      <c r="J21" s="23"/>
      <c r="K21" s="23"/>
    </row>
    <row r="22" spans="1:11" ht="13.5" thickBot="1">
      <c r="A22" s="247">
        <v>18</v>
      </c>
      <c r="B22" s="88" t="s">
        <v>18</v>
      </c>
      <c r="C22" s="115">
        <f>C9/C19</f>
        <v>0.12</v>
      </c>
      <c r="D22" s="115">
        <f>D9/D19</f>
        <v>0.12875</v>
      </c>
      <c r="E22" s="115">
        <f>E9/E19</f>
        <v>0.1390625</v>
      </c>
      <c r="F22" s="115">
        <f>F9/F19</f>
        <v>0.15053571428571427</v>
      </c>
      <c r="G22" s="115">
        <f>G9/G19</f>
        <v>0.16333333333333333</v>
      </c>
      <c r="H22" s="114">
        <f>H9/H19</f>
        <v>0.1775</v>
      </c>
      <c r="I22" s="23"/>
      <c r="J22" s="23"/>
      <c r="K22" s="23"/>
    </row>
    <row r="23" spans="1:11" ht="12.75">
      <c r="A23" s="238">
        <v>19</v>
      </c>
      <c r="B23" s="94" t="s">
        <v>109</v>
      </c>
      <c r="C23" s="125">
        <v>5000</v>
      </c>
      <c r="D23" s="125">
        <f>5000/(1+D18/D16)</f>
        <v>4523.674530050274</v>
      </c>
      <c r="E23" s="125">
        <f>5000/(1+E18/E16)</f>
        <v>4087.6161247384243</v>
      </c>
      <c r="F23" s="125">
        <f>5000/(1+F18/F16)</f>
        <v>3674.209425990626</v>
      </c>
      <c r="G23" s="125">
        <f>5000/(1+G18/G16)</f>
        <v>3268.41332076063</v>
      </c>
      <c r="H23" s="237">
        <f>5000/(1+H18/H16)</f>
        <v>2854.749772585223</v>
      </c>
      <c r="I23" s="23"/>
      <c r="J23" s="23"/>
      <c r="K23" s="23"/>
    </row>
    <row r="24" spans="1:11" ht="13.5" thickBot="1">
      <c r="A24" s="247">
        <v>20</v>
      </c>
      <c r="B24" s="88" t="s">
        <v>108</v>
      </c>
      <c r="C24" s="88">
        <f>C16/C23</f>
        <v>100</v>
      </c>
      <c r="D24" s="257">
        <f>D16/D23</f>
        <v>104.97024231199997</v>
      </c>
      <c r="E24" s="257">
        <f>E16/E23</f>
        <v>109.60298917090192</v>
      </c>
      <c r="F24" s="257">
        <f>F16/F23</f>
        <v>113.14004107479755</v>
      </c>
      <c r="G24" s="257">
        <f>G16/G23</f>
        <v>115.50100402011267</v>
      </c>
      <c r="H24" s="256">
        <f>H16/H23</f>
        <v>116.5365218496086</v>
      </c>
      <c r="I24" s="23"/>
      <c r="J24" s="23"/>
      <c r="K24" s="23"/>
    </row>
    <row r="25" spans="1:11" ht="12.75">
      <c r="A25" s="238">
        <v>21</v>
      </c>
      <c r="B25" s="94" t="s">
        <v>107</v>
      </c>
      <c r="C25" s="94">
        <f>C9/C23</f>
        <v>12</v>
      </c>
      <c r="D25" s="255">
        <f>D9/D23</f>
        <v>12.807619030751999</v>
      </c>
      <c r="E25" s="255">
        <f>E9/E23</f>
        <v>13.608176086632785</v>
      </c>
      <c r="F25" s="255">
        <f>F9/F23</f>
        <v>14.33981950710243</v>
      </c>
      <c r="G25" s="255">
        <f>G9/G23</f>
        <v>14.991983935678197</v>
      </c>
      <c r="H25" s="254">
        <f>H9/H23</f>
        <v>15.544269563007827</v>
      </c>
      <c r="I25" s="23"/>
      <c r="J25" s="23"/>
      <c r="K25" s="23"/>
    </row>
    <row r="26" spans="1:11" ht="12.75">
      <c r="A26" s="238">
        <v>22</v>
      </c>
      <c r="B26" s="94" t="s">
        <v>22</v>
      </c>
      <c r="C26" s="253">
        <f>C24/C25</f>
        <v>8.333333333333334</v>
      </c>
      <c r="D26" s="253">
        <f>D24/D25</f>
        <v>8.195921666623514</v>
      </c>
      <c r="E26" s="253">
        <f>E24/E25</f>
        <v>8.054201273788937</v>
      </c>
      <c r="F26" s="253">
        <f>F24/F25</f>
        <v>7.8899208611907525</v>
      </c>
      <c r="G26" s="253">
        <f>G24/G25</f>
        <v>7.704184083684967</v>
      </c>
      <c r="H26" s="252">
        <f>H24/H25</f>
        <v>7.497072884462942</v>
      </c>
      <c r="I26" s="23"/>
      <c r="J26" s="23"/>
      <c r="K26" s="23"/>
    </row>
    <row r="27" spans="1:11" ht="12.75">
      <c r="A27" s="238">
        <v>23</v>
      </c>
      <c r="B27" s="94" t="s">
        <v>23</v>
      </c>
      <c r="C27" s="251">
        <v>0</v>
      </c>
      <c r="D27" s="251">
        <v>0.1</v>
      </c>
      <c r="E27" s="251">
        <v>0.2</v>
      </c>
      <c r="F27" s="251">
        <v>0.3</v>
      </c>
      <c r="G27" s="251">
        <v>0.4</v>
      </c>
      <c r="H27" s="250">
        <v>0.5</v>
      </c>
      <c r="I27" s="23"/>
      <c r="J27" s="23"/>
      <c r="K27" s="23"/>
    </row>
    <row r="28" spans="1:11" ht="13.5" thickBot="1">
      <c r="A28" s="247">
        <v>24</v>
      </c>
      <c r="B28" s="88" t="s">
        <v>106</v>
      </c>
      <c r="C28" s="115">
        <f>C15/C17</f>
        <v>0</v>
      </c>
      <c r="D28" s="115">
        <f>D15/D17</f>
        <v>0.09577776429688342</v>
      </c>
      <c r="E28" s="115">
        <f>E15/E17</f>
        <v>0.18835674536864677</v>
      </c>
      <c r="F28" s="115">
        <f>F15/F17</f>
        <v>0.2885498006377676</v>
      </c>
      <c r="G28" s="115">
        <f>G15/G17</f>
        <v>0.39356134219500233</v>
      </c>
      <c r="H28" s="114">
        <f>H15/H17</f>
        <v>0.5014627014692896</v>
      </c>
      <c r="I28" s="23"/>
      <c r="J28" s="23"/>
      <c r="K28" s="23"/>
    </row>
    <row r="29" spans="1:11" ht="13.5" thickBot="1">
      <c r="A29" s="236">
        <v>25</v>
      </c>
      <c r="B29" s="235" t="s">
        <v>25</v>
      </c>
      <c r="C29" s="249">
        <f>(C16*C14+C13*0.5*C15)/(C17)</f>
        <v>0.12</v>
      </c>
      <c r="D29" s="249">
        <f>(D16*D14+D13*0.5*D15)/(D17)</f>
        <v>0.11425333414218698</v>
      </c>
      <c r="E29" s="249">
        <f>(E16*E14+E13*0.5*E15)/(E17)</f>
        <v>0.10869859527788117</v>
      </c>
      <c r="F29" s="249">
        <f>(F16*F14+F13*0.5*F15)/(F17)</f>
        <v>0.10268701196173396</v>
      </c>
      <c r="G29" s="249">
        <f>(G16*G14+G13*0.5*G15)/(G17)</f>
        <v>0.09638631946829987</v>
      </c>
      <c r="H29" s="248">
        <f>(H16*H14+H13*0.5*H15)/(H17)</f>
        <v>0.08991223791184262</v>
      </c>
      <c r="I29" s="23"/>
      <c r="J29" s="23"/>
      <c r="K29" s="23"/>
    </row>
    <row r="30" spans="1:11" ht="12.75">
      <c r="A30" s="238">
        <v>26</v>
      </c>
      <c r="B30" s="94" t="s">
        <v>26</v>
      </c>
      <c r="C30" s="125">
        <f>C5*0.5</f>
        <v>60000</v>
      </c>
      <c r="D30" s="125">
        <f>D5*0.5</f>
        <v>60000</v>
      </c>
      <c r="E30" s="125">
        <f>E5*0.5</f>
        <v>60000</v>
      </c>
      <c r="F30" s="125">
        <f>F5*0.5</f>
        <v>60000</v>
      </c>
      <c r="G30" s="125">
        <f>G5*0.5</f>
        <v>60000</v>
      </c>
      <c r="H30" s="237">
        <f>H5*0.5</f>
        <v>60000</v>
      </c>
      <c r="I30" s="23"/>
      <c r="J30" s="23"/>
      <c r="K30" s="23"/>
    </row>
    <row r="31" spans="1:11" ht="13.5" thickBot="1">
      <c r="A31" s="247">
        <v>27</v>
      </c>
      <c r="B31" s="88" t="s">
        <v>27</v>
      </c>
      <c r="C31" s="87">
        <f>C30/C29</f>
        <v>500000</v>
      </c>
      <c r="D31" s="87">
        <f>D30/D29</f>
        <v>525148.7884400001</v>
      </c>
      <c r="E31" s="87">
        <f>E30/E29</f>
        <v>551985.0541454905</v>
      </c>
      <c r="F31" s="87">
        <f>F30/F29</f>
        <v>584299.7946260121</v>
      </c>
      <c r="G31" s="87">
        <f>G30/G29</f>
        <v>622494.9798994366</v>
      </c>
      <c r="H31" s="246">
        <f>H30/H29</f>
        <v>667317.390751957</v>
      </c>
      <c r="I31" s="23"/>
      <c r="J31" s="23"/>
      <c r="K31" s="23"/>
    </row>
    <row r="32" spans="1:11" ht="12.75">
      <c r="A32" s="238"/>
      <c r="B32" s="245" t="s">
        <v>88</v>
      </c>
      <c r="C32" s="94"/>
      <c r="D32" s="94"/>
      <c r="E32" s="94"/>
      <c r="F32" s="94"/>
      <c r="G32" s="94"/>
      <c r="H32" s="105"/>
      <c r="I32" s="23"/>
      <c r="J32" s="23"/>
      <c r="K32" s="23"/>
    </row>
    <row r="33" spans="1:11" ht="12.75">
      <c r="A33" s="238"/>
      <c r="B33" s="245"/>
      <c r="C33" s="94"/>
      <c r="D33" s="94"/>
      <c r="E33" s="94"/>
      <c r="F33" s="94"/>
      <c r="G33" s="94"/>
      <c r="H33" s="105"/>
      <c r="I33" s="23"/>
      <c r="J33" s="23"/>
      <c r="K33" s="23"/>
    </row>
    <row r="34" spans="1:11" ht="12.75">
      <c r="A34" s="244"/>
      <c r="B34" s="224" t="s">
        <v>36</v>
      </c>
      <c r="C34" s="224">
        <v>0</v>
      </c>
      <c r="D34" s="223">
        <f>C34+50000</f>
        <v>50000</v>
      </c>
      <c r="E34" s="223">
        <f>D34+50000</f>
        <v>100000</v>
      </c>
      <c r="F34" s="223">
        <f>E34+50000</f>
        <v>150000</v>
      </c>
      <c r="G34" s="223">
        <f>F34+50000</f>
        <v>200000</v>
      </c>
      <c r="H34" s="243">
        <f>G34+50000</f>
        <v>250000</v>
      </c>
      <c r="I34" s="45"/>
      <c r="J34" s="45"/>
      <c r="K34" s="45"/>
    </row>
    <row r="35" spans="1:11" ht="13.5">
      <c r="A35" s="242">
        <v>5</v>
      </c>
      <c r="B35" s="81" t="s">
        <v>86</v>
      </c>
      <c r="C35" s="158">
        <f>C8</f>
        <v>60000</v>
      </c>
      <c r="D35" s="158">
        <f>D8</f>
        <v>57937.5</v>
      </c>
      <c r="E35" s="158">
        <f>E8</f>
        <v>55625</v>
      </c>
      <c r="F35" s="158">
        <f>F8</f>
        <v>52687.5</v>
      </c>
      <c r="G35" s="158">
        <f>G8</f>
        <v>49000</v>
      </c>
      <c r="H35" s="157">
        <f>H8</f>
        <v>44375</v>
      </c>
      <c r="I35" s="32"/>
      <c r="J35" s="32"/>
      <c r="K35" s="32"/>
    </row>
    <row r="36" spans="1:11" ht="13.5">
      <c r="A36" s="241">
        <v>3</v>
      </c>
      <c r="B36" s="70" t="s">
        <v>85</v>
      </c>
      <c r="C36" s="77">
        <f>C6</f>
        <v>0</v>
      </c>
      <c r="D36" s="77">
        <f>D6</f>
        <v>4125</v>
      </c>
      <c r="E36" s="77">
        <f>E6</f>
        <v>8750</v>
      </c>
      <c r="F36" s="77">
        <f>F6</f>
        <v>14625</v>
      </c>
      <c r="G36" s="77">
        <f>G6</f>
        <v>22000</v>
      </c>
      <c r="H36" s="152">
        <f>H6</f>
        <v>31250</v>
      </c>
      <c r="I36" s="32"/>
      <c r="J36" s="32"/>
      <c r="K36" s="32"/>
    </row>
    <row r="37" spans="1:11" ht="14.25" thickBot="1">
      <c r="A37" s="241">
        <v>7</v>
      </c>
      <c r="B37" s="70" t="s">
        <v>84</v>
      </c>
      <c r="C37" s="77">
        <f>C10</f>
        <v>60000</v>
      </c>
      <c r="D37" s="77">
        <f>D10</f>
        <v>57937.5</v>
      </c>
      <c r="E37" s="77">
        <f>E10</f>
        <v>55625</v>
      </c>
      <c r="F37" s="77">
        <f>F10</f>
        <v>52687.5</v>
      </c>
      <c r="G37" s="77">
        <f>G10</f>
        <v>49000</v>
      </c>
      <c r="H37" s="152">
        <f>H10</f>
        <v>44375</v>
      </c>
      <c r="I37" s="32"/>
      <c r="J37" s="32"/>
      <c r="K37" s="32"/>
    </row>
    <row r="38" spans="1:11" ht="14.25" thickBot="1">
      <c r="A38" s="240">
        <v>2</v>
      </c>
      <c r="B38" s="239" t="s">
        <v>83</v>
      </c>
      <c r="C38" s="154">
        <f>SUM(C35:C37)</f>
        <v>120000</v>
      </c>
      <c r="D38" s="154">
        <f>SUM(D35:D37)</f>
        <v>120000</v>
      </c>
      <c r="E38" s="154">
        <f>SUM(E35:E37)</f>
        <v>120000</v>
      </c>
      <c r="F38" s="154">
        <f>SUM(F35:F37)</f>
        <v>120000</v>
      </c>
      <c r="G38" s="154">
        <f>SUM(G35:G37)</f>
        <v>120000</v>
      </c>
      <c r="H38" s="153">
        <f>SUM(H35:H37)</f>
        <v>120000</v>
      </c>
      <c r="I38" s="32"/>
      <c r="J38" s="32"/>
      <c r="K38" s="32"/>
    </row>
    <row r="39" spans="1:11" ht="13.5" thickBot="1">
      <c r="A39" s="238">
        <v>28</v>
      </c>
      <c r="B39" s="94" t="s">
        <v>82</v>
      </c>
      <c r="C39" s="125">
        <f>C8/C14</f>
        <v>500000</v>
      </c>
      <c r="D39" s="125">
        <f>D8/D14</f>
        <v>474851.2115599999</v>
      </c>
      <c r="E39" s="125">
        <f>E8/E14</f>
        <v>448014.9458545096</v>
      </c>
      <c r="F39" s="125">
        <f>F8/F14</f>
        <v>415700.2053739878</v>
      </c>
      <c r="G39" s="125">
        <f>G8/G14</f>
        <v>377505.02010056336</v>
      </c>
      <c r="H39" s="237">
        <f>H8/H14</f>
        <v>332682.60924804304</v>
      </c>
      <c r="I39" s="49"/>
      <c r="J39" s="49"/>
      <c r="K39" s="49"/>
    </row>
    <row r="40" spans="1:11" ht="13.5" thickBot="1">
      <c r="A40" s="236">
        <v>29</v>
      </c>
      <c r="B40" s="235" t="s">
        <v>81</v>
      </c>
      <c r="C40" s="234">
        <f>C39+C15+C16</f>
        <v>1000000</v>
      </c>
      <c r="D40" s="234">
        <f>D39+D15+D16</f>
        <v>1000000</v>
      </c>
      <c r="E40" s="234">
        <f>E39+E15+E16</f>
        <v>1000000.0000000001</v>
      </c>
      <c r="F40" s="234">
        <f>F39+F15+F16</f>
        <v>999999.9999999999</v>
      </c>
      <c r="G40" s="234">
        <f>G39+G15+G16</f>
        <v>1000000</v>
      </c>
      <c r="H40" s="233">
        <f>H39+H15+H16</f>
        <v>1000000</v>
      </c>
      <c r="I40" s="49"/>
      <c r="J40" s="49"/>
      <c r="K40" s="49"/>
    </row>
    <row r="41" spans="1:11" ht="13.5">
      <c r="A41" s="60">
        <v>30</v>
      </c>
      <c r="B41" s="232" t="s">
        <v>80</v>
      </c>
      <c r="C41" s="231">
        <f>C85/C40</f>
        <v>0.12</v>
      </c>
      <c r="D41" s="231">
        <f>D85/D40</f>
        <v>0.12</v>
      </c>
      <c r="E41" s="231">
        <f>E85/E40</f>
        <v>0.11999999999999998</v>
      </c>
      <c r="F41" s="231">
        <f>F85/F40</f>
        <v>0.12000000000000001</v>
      </c>
      <c r="G41" s="231">
        <f>G85/G40</f>
        <v>0.12</v>
      </c>
      <c r="H41" s="230">
        <f>H85/H40</f>
        <v>0.12</v>
      </c>
      <c r="I41" s="23"/>
      <c r="J41" s="23"/>
      <c r="K41" s="23"/>
    </row>
    <row r="42" spans="1:11" ht="13.5">
      <c r="A42" s="86">
        <v>31</v>
      </c>
      <c r="B42" s="229" t="s">
        <v>79</v>
      </c>
      <c r="C42" s="228"/>
      <c r="D42" s="227">
        <f>D41-C41</f>
        <v>0</v>
      </c>
      <c r="E42" s="227">
        <f>E41-D41</f>
        <v>0</v>
      </c>
      <c r="F42" s="227">
        <f>F41-E41</f>
        <v>0</v>
      </c>
      <c r="G42" s="227">
        <f>G41-F41</f>
        <v>0</v>
      </c>
      <c r="H42" s="226">
        <f>H41-G41</f>
        <v>0</v>
      </c>
      <c r="I42" s="140"/>
      <c r="J42" s="140"/>
      <c r="K42" s="140"/>
    </row>
    <row r="43" spans="1:11" ht="12.75">
      <c r="A43" s="135"/>
      <c r="B43" s="126"/>
      <c r="C43" s="125"/>
      <c r="D43" s="125"/>
      <c r="E43" s="125"/>
      <c r="F43" s="125"/>
      <c r="G43" s="125"/>
      <c r="H43" s="219"/>
      <c r="I43" s="23"/>
      <c r="J43" s="23"/>
      <c r="K43" s="23"/>
    </row>
    <row r="44" spans="1:11" ht="12.75">
      <c r="A44" s="135"/>
      <c r="B44" s="126"/>
      <c r="C44" s="125"/>
      <c r="D44" s="125"/>
      <c r="E44" s="125"/>
      <c r="F44" s="125"/>
      <c r="G44" s="125"/>
      <c r="H44" s="219"/>
      <c r="I44" s="23"/>
      <c r="J44" s="23"/>
      <c r="K44" s="23"/>
    </row>
    <row r="45" spans="1:11" ht="12.75">
      <c r="A45" s="135"/>
      <c r="B45" s="126"/>
      <c r="C45" s="125"/>
      <c r="D45" s="125"/>
      <c r="E45" s="125"/>
      <c r="F45" s="125"/>
      <c r="G45" s="125"/>
      <c r="H45" s="219"/>
      <c r="I45" s="23"/>
      <c r="J45" s="23"/>
      <c r="K45" s="23"/>
    </row>
    <row r="46" spans="1:11" ht="12.75">
      <c r="A46" s="225"/>
      <c r="B46" s="224" t="s">
        <v>36</v>
      </c>
      <c r="C46" s="224">
        <v>0</v>
      </c>
      <c r="D46" s="223">
        <f>C46+50000</f>
        <v>50000</v>
      </c>
      <c r="E46" s="223">
        <f>D46+50000</f>
        <v>100000</v>
      </c>
      <c r="F46" s="223">
        <f>E46+50000</f>
        <v>150000</v>
      </c>
      <c r="G46" s="223">
        <f>F46+50000</f>
        <v>200000</v>
      </c>
      <c r="H46" s="223">
        <f>G46+50000</f>
        <v>250000</v>
      </c>
      <c r="I46" s="45"/>
      <c r="J46" s="45"/>
      <c r="K46" s="45"/>
    </row>
    <row r="47" spans="1:11" ht="12.75">
      <c r="A47" s="139">
        <v>32</v>
      </c>
      <c r="B47" s="222" t="s">
        <v>77</v>
      </c>
      <c r="C47" s="137">
        <v>0</v>
      </c>
      <c r="D47" s="137">
        <f>($C40-D40)/2</f>
        <v>0</v>
      </c>
      <c r="E47" s="137">
        <f>($C40-E40)/2</f>
        <v>-5.820766091346741E-11</v>
      </c>
      <c r="F47" s="137">
        <f>($C40-F40)/2</f>
        <v>5.820766091346741E-11</v>
      </c>
      <c r="G47" s="137">
        <f>($C40-G40)/2</f>
        <v>0</v>
      </c>
      <c r="H47" s="221">
        <f>($C40-H40)/2</f>
        <v>0</v>
      </c>
      <c r="I47" s="23"/>
      <c r="J47" s="23"/>
      <c r="K47" s="23"/>
    </row>
    <row r="48" spans="1:11" ht="13.5">
      <c r="A48" s="135">
        <v>33</v>
      </c>
      <c r="B48" s="220" t="s">
        <v>76</v>
      </c>
      <c r="C48" s="125"/>
      <c r="D48" s="125">
        <f>D47-C47</f>
        <v>0</v>
      </c>
      <c r="E48" s="125">
        <f>E47-D47</f>
        <v>-5.820766091346741E-11</v>
      </c>
      <c r="F48" s="125">
        <f>F47-E47</f>
        <v>1.1641532182693481E-10</v>
      </c>
      <c r="G48" s="125">
        <f>G47-F47</f>
        <v>-5.820766091346741E-11</v>
      </c>
      <c r="H48" s="219">
        <f>H47-G47</f>
        <v>0</v>
      </c>
      <c r="I48" s="23"/>
      <c r="J48" s="23"/>
      <c r="K48" s="23"/>
    </row>
    <row r="49" spans="1:11" ht="12.75">
      <c r="A49" s="131">
        <v>34</v>
      </c>
      <c r="B49" s="218" t="s">
        <v>75</v>
      </c>
      <c r="C49" s="217"/>
      <c r="D49" s="217">
        <f>(D15-C15)*0.5</f>
        <v>25148.788440000117</v>
      </c>
      <c r="E49" s="217">
        <f>(E15-D15)*0.5</f>
        <v>26836.265705490314</v>
      </c>
      <c r="F49" s="217">
        <f>(F15-E15)*0.5</f>
        <v>32314.740480521737</v>
      </c>
      <c r="G49" s="217">
        <f>(G15-F15)*0.5</f>
        <v>38195.18527342446</v>
      </c>
      <c r="H49" s="216">
        <f>(H15-G15)*0.5</f>
        <v>44822.410852520305</v>
      </c>
      <c r="I49" s="23"/>
      <c r="J49" s="23"/>
      <c r="K49" s="23"/>
    </row>
    <row r="50" spans="2:8" ht="12.75">
      <c r="B50" s="215"/>
      <c r="C50" s="6"/>
      <c r="D50" s="6"/>
      <c r="E50" s="6"/>
      <c r="F50" s="6"/>
      <c r="G50" s="6"/>
      <c r="H50" s="6"/>
    </row>
    <row r="51" spans="2:8" ht="12.75">
      <c r="B51" s="214" t="s">
        <v>74</v>
      </c>
      <c r="C51" s="6"/>
      <c r="D51" s="6"/>
      <c r="E51" s="6"/>
      <c r="F51" s="6"/>
      <c r="G51" s="6"/>
      <c r="H51" s="6"/>
    </row>
    <row r="52" spans="1:8" ht="12.75">
      <c r="A52" s="14">
        <v>30</v>
      </c>
      <c r="B52" s="214" t="s">
        <v>73</v>
      </c>
      <c r="C52" s="6">
        <f>1000000-C31</f>
        <v>500000</v>
      </c>
      <c r="D52" s="6">
        <f>1000000-D31</f>
        <v>474851.21155999985</v>
      </c>
      <c r="E52" s="6">
        <f>1000000-E31</f>
        <v>448014.9458545095</v>
      </c>
      <c r="F52" s="6">
        <f>1000000-F31</f>
        <v>415700.2053739879</v>
      </c>
      <c r="G52" s="6">
        <f>1000000-G31</f>
        <v>377505.0201005634</v>
      </c>
      <c r="H52" s="6">
        <f>1000000-H31</f>
        <v>332682.60924804304</v>
      </c>
    </row>
    <row r="53" spans="1:9" ht="12.75">
      <c r="A53" s="14">
        <v>31</v>
      </c>
      <c r="B53" s="205" t="s">
        <v>72</v>
      </c>
      <c r="C53" s="212">
        <f>C8/C52</f>
        <v>0.12</v>
      </c>
      <c r="D53" s="212">
        <f>D8/D52</f>
        <v>0.12201190307520002</v>
      </c>
      <c r="E53" s="212">
        <f>E8/E52</f>
        <v>0.12415880433163926</v>
      </c>
      <c r="F53" s="212">
        <f>F8/F52</f>
        <v>0.12674398357008096</v>
      </c>
      <c r="G53" s="212">
        <f>G8/G52</f>
        <v>0.12979959839195493</v>
      </c>
      <c r="H53" s="212">
        <f>H8/H52</f>
        <v>0.13338539126015656</v>
      </c>
      <c r="I53" s="1" t="s">
        <v>105</v>
      </c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207" t="s">
        <v>70</v>
      </c>
      <c r="C55" s="1"/>
      <c r="D55" s="1"/>
      <c r="E55" s="1"/>
      <c r="F55" s="1"/>
      <c r="G55" s="1"/>
      <c r="H55" s="1"/>
    </row>
    <row r="56" spans="1:8" ht="12.75">
      <c r="A56" s="14">
        <v>32</v>
      </c>
      <c r="B56" s="1" t="s">
        <v>69</v>
      </c>
      <c r="C56" s="1"/>
      <c r="D56" s="4">
        <f>D12</f>
        <v>0.0825</v>
      </c>
      <c r="E56" s="4">
        <f>D56</f>
        <v>0.0825</v>
      </c>
      <c r="F56" s="4">
        <f>E56</f>
        <v>0.0825</v>
      </c>
      <c r="G56" s="4">
        <f>F56</f>
        <v>0.0825</v>
      </c>
      <c r="H56" s="4">
        <f>G56</f>
        <v>0.0825</v>
      </c>
    </row>
    <row r="57" spans="1:8" ht="12.75">
      <c r="A57" s="14">
        <v>33</v>
      </c>
      <c r="B57" s="1" t="s">
        <v>68</v>
      </c>
      <c r="C57" s="1"/>
      <c r="D57" s="4"/>
      <c r="E57" s="4">
        <f>(E6-D6)/50000</f>
        <v>0.0925</v>
      </c>
      <c r="F57" s="4">
        <f>E57</f>
        <v>0.0925</v>
      </c>
      <c r="G57" s="4">
        <f>F57</f>
        <v>0.0925</v>
      </c>
      <c r="H57" s="4">
        <f>G57</f>
        <v>0.0925</v>
      </c>
    </row>
    <row r="58" spans="1:8" ht="12.75">
      <c r="A58" s="14">
        <v>34</v>
      </c>
      <c r="B58" s="1" t="s">
        <v>68</v>
      </c>
      <c r="C58" s="1"/>
      <c r="D58" s="4"/>
      <c r="E58" s="4"/>
      <c r="F58" s="4">
        <f>(F6-E6)/50000</f>
        <v>0.1175</v>
      </c>
      <c r="G58" s="4">
        <f>F58</f>
        <v>0.1175</v>
      </c>
      <c r="H58" s="4">
        <f>G58</f>
        <v>0.1175</v>
      </c>
    </row>
    <row r="59" spans="1:8" ht="12.75">
      <c r="A59" s="14">
        <v>35</v>
      </c>
      <c r="B59" s="1" t="s">
        <v>68</v>
      </c>
      <c r="C59" s="1"/>
      <c r="D59" s="4"/>
      <c r="E59" s="4"/>
      <c r="F59" s="4"/>
      <c r="G59" s="4">
        <f>(G6-F6)/50000</f>
        <v>0.1475</v>
      </c>
      <c r="H59" s="5">
        <f>G59</f>
        <v>0.1475</v>
      </c>
    </row>
    <row r="60" spans="1:8" ht="12.75">
      <c r="A60" s="14">
        <v>36</v>
      </c>
      <c r="B60" s="1" t="s">
        <v>68</v>
      </c>
      <c r="D60" s="4"/>
      <c r="E60" s="4"/>
      <c r="F60" s="4"/>
      <c r="G60" s="4"/>
      <c r="H60" s="5">
        <f>(H6-G6)/50000</f>
        <v>0.185</v>
      </c>
    </row>
    <row r="61" spans="1:8" ht="12.75">
      <c r="A61" s="14">
        <v>37</v>
      </c>
      <c r="B61" s="206" t="s">
        <v>67</v>
      </c>
      <c r="C61" s="213"/>
      <c r="D61" s="212">
        <f>AVERAGE(D56:D60)</f>
        <v>0.0825</v>
      </c>
      <c r="E61" s="212">
        <f>AVERAGE(E56:E60)</f>
        <v>0.0875</v>
      </c>
      <c r="F61" s="212">
        <f>AVERAGE(F56:F60)</f>
        <v>0.09749999999999999</v>
      </c>
      <c r="G61" s="212">
        <f>AVERAGE(G56:G60)</f>
        <v>0.10999999999999999</v>
      </c>
      <c r="H61" s="212">
        <f>AVERAGE(H56:H60)</f>
        <v>0.125</v>
      </c>
    </row>
    <row r="63" spans="2:8" ht="12.75">
      <c r="B63" s="1" t="s">
        <v>65</v>
      </c>
      <c r="C63" s="1"/>
      <c r="D63" s="1"/>
      <c r="E63" s="1"/>
      <c r="F63" s="1"/>
      <c r="G63" s="1"/>
      <c r="H63" s="1"/>
    </row>
    <row r="64" spans="1:8" ht="12.75">
      <c r="A64" s="14">
        <v>38</v>
      </c>
      <c r="B64" s="1"/>
      <c r="C64" s="1"/>
      <c r="D64" s="210">
        <f>D18/($C23-D23)</f>
        <v>104.97024231200005</v>
      </c>
      <c r="E64" s="210">
        <f>E18/($C23-E23)</f>
        <v>109.6029891709019</v>
      </c>
      <c r="F64" s="211">
        <f>F18/($C23-F23)</f>
        <v>113.14004107479757</v>
      </c>
      <c r="G64" s="210">
        <f>G18/($C23-G23)</f>
        <v>115.50100402011266</v>
      </c>
      <c r="H64" s="210">
        <f>H18/($C23-H23)</f>
        <v>116.53652184960862</v>
      </c>
    </row>
    <row r="65" spans="2:8" ht="12.75">
      <c r="B65" s="1" t="s">
        <v>64</v>
      </c>
      <c r="C65" s="1"/>
      <c r="D65" s="1"/>
      <c r="E65" s="1"/>
      <c r="F65" s="1"/>
      <c r="G65" s="1"/>
      <c r="H65" s="1"/>
    </row>
    <row r="66" spans="1:8" ht="12.75">
      <c r="A66" s="14">
        <v>39</v>
      </c>
      <c r="B66" s="206"/>
      <c r="C66" s="206"/>
      <c r="D66" s="208">
        <f>50000/(C23-D23)</f>
        <v>104.97024231200005</v>
      </c>
      <c r="E66" s="208">
        <f>50000/(D23-E23)</f>
        <v>114.66353908312391</v>
      </c>
      <c r="F66" s="209">
        <f>50000/(E23-F23)</f>
        <v>120.94627433819807</v>
      </c>
      <c r="G66" s="208">
        <f>50000/(F23-G23)</f>
        <v>123.21458820227248</v>
      </c>
      <c r="H66" s="208">
        <f>50000/(G23-H23)</f>
        <v>120.87117712097357</v>
      </c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207" t="s">
        <v>63</v>
      </c>
      <c r="C68" s="1"/>
      <c r="D68" s="1"/>
      <c r="E68" s="1"/>
      <c r="F68" s="1"/>
      <c r="G68" s="1"/>
      <c r="H68" s="1"/>
    </row>
    <row r="69" spans="1:8" ht="12.75">
      <c r="A69" s="14">
        <v>40</v>
      </c>
      <c r="B69" s="1" t="s">
        <v>62</v>
      </c>
      <c r="C69" s="3">
        <f>C31</f>
        <v>500000</v>
      </c>
      <c r="D69" s="3">
        <f>C69</f>
        <v>500000</v>
      </c>
      <c r="E69" s="3">
        <f>D69</f>
        <v>500000</v>
      </c>
      <c r="F69" s="3">
        <f>E69</f>
        <v>500000</v>
      </c>
      <c r="G69" s="3">
        <f>F69</f>
        <v>500000</v>
      </c>
      <c r="H69" s="3">
        <f>G69</f>
        <v>500000</v>
      </c>
    </row>
    <row r="70" spans="1:8" ht="12.75">
      <c r="A70" s="14">
        <v>41</v>
      </c>
      <c r="B70" s="1" t="s">
        <v>61</v>
      </c>
      <c r="C70" s="8">
        <f>C31</f>
        <v>500000</v>
      </c>
      <c r="D70" s="8">
        <f>D31</f>
        <v>525148.7884400001</v>
      </c>
      <c r="E70" s="8">
        <f>E31</f>
        <v>551985.0541454905</v>
      </c>
      <c r="F70" s="8">
        <f>F31</f>
        <v>584299.7946260121</v>
      </c>
      <c r="G70" s="8">
        <f>G31</f>
        <v>622494.9798994366</v>
      </c>
      <c r="H70" s="8">
        <f>H31</f>
        <v>667317.390751957</v>
      </c>
    </row>
    <row r="71" spans="1:8" ht="12.75">
      <c r="A71" s="14">
        <v>42</v>
      </c>
      <c r="B71" s="1" t="s">
        <v>60</v>
      </c>
      <c r="C71" s="3">
        <f>C70-C69</f>
        <v>0</v>
      </c>
      <c r="D71" s="3">
        <f>D70-D69</f>
        <v>25148.78844000015</v>
      </c>
      <c r="E71" s="3">
        <f>E70-E69</f>
        <v>51985.05414549052</v>
      </c>
      <c r="F71" s="3">
        <f>F70-F69</f>
        <v>84299.7946260121</v>
      </c>
      <c r="G71" s="3">
        <f>G70-G69</f>
        <v>122494.97989943658</v>
      </c>
      <c r="H71" s="3">
        <f>H70-H69</f>
        <v>167317.39075195696</v>
      </c>
    </row>
    <row r="72" spans="1:8" ht="12.75">
      <c r="A72" s="14">
        <v>43</v>
      </c>
      <c r="B72" s="1" t="s">
        <v>59</v>
      </c>
      <c r="C72" s="1">
        <v>0</v>
      </c>
      <c r="D72" s="3">
        <f>$C8-D8</f>
        <v>2062.5</v>
      </c>
      <c r="E72" s="3">
        <f>$C8-E8</f>
        <v>4375</v>
      </c>
      <c r="F72" s="3">
        <f>$C8-F8</f>
        <v>7312.5</v>
      </c>
      <c r="G72" s="3">
        <f>$C8-G8</f>
        <v>11000</v>
      </c>
      <c r="H72" s="3">
        <f>$C8-H8</f>
        <v>15625</v>
      </c>
    </row>
    <row r="73" spans="1:8" ht="12.75">
      <c r="A73" s="14">
        <v>44</v>
      </c>
      <c r="B73" s="206" t="s">
        <v>58</v>
      </c>
      <c r="C73" s="206"/>
      <c r="D73" s="204">
        <f>D72/D71</f>
        <v>0.0820119030751999</v>
      </c>
      <c r="E73" s="204">
        <f>E72/E71</f>
        <v>0.0841588043316391</v>
      </c>
      <c r="F73" s="204">
        <f>F72/F71</f>
        <v>0.08674398357008105</v>
      </c>
      <c r="G73" s="204">
        <f>G72/G71</f>
        <v>0.08979959839195495</v>
      </c>
      <c r="H73" s="204">
        <f>H72/H71</f>
        <v>0.09338539126015655</v>
      </c>
    </row>
    <row r="74" spans="2:8" ht="12.75">
      <c r="B74" s="1"/>
      <c r="C74" s="1"/>
      <c r="D74" s="1"/>
      <c r="E74" s="1"/>
      <c r="F74" s="1"/>
      <c r="G74" s="1"/>
      <c r="H74" s="1"/>
    </row>
    <row r="75" spans="1:8" ht="12.75">
      <c r="A75" s="14">
        <v>45</v>
      </c>
      <c r="B75" s="7" t="s">
        <v>57</v>
      </c>
      <c r="C75" s="1"/>
      <c r="D75" s="1"/>
      <c r="E75" s="1"/>
      <c r="F75" s="1"/>
      <c r="G75" s="1"/>
      <c r="H75" s="1"/>
    </row>
    <row r="76" spans="2:8" ht="12.75">
      <c r="B76" s="7" t="s">
        <v>56</v>
      </c>
      <c r="C76" s="1"/>
      <c r="D76" s="1"/>
      <c r="E76" s="1"/>
      <c r="F76" s="1"/>
      <c r="G76" s="1"/>
      <c r="H76" s="1"/>
    </row>
    <row r="77" spans="1:8" ht="12.75">
      <c r="A77" s="14">
        <v>46</v>
      </c>
      <c r="B77" s="205"/>
      <c r="C77" s="204">
        <f>(C14*C16+C13*C15*0.5)/(C16+C15*0.5)</f>
        <v>0.12</v>
      </c>
      <c r="D77" s="204">
        <f>(D14*D16+D13*D15*0.5)/(D16+D15*0.5)</f>
        <v>0.12</v>
      </c>
      <c r="E77" s="204">
        <f>(E14*E16+E13*E15*0.5)/(E16+E15*0.5)</f>
        <v>0.12</v>
      </c>
      <c r="F77" s="204">
        <f>(F14*F16+F13*F15*0.5)/(F16+F15*0.5)</f>
        <v>0.12000000000000001</v>
      </c>
      <c r="G77" s="204">
        <f>(G14*G16+G13*G15*0.5)/(G16+G15*0.5)</f>
        <v>0.12</v>
      </c>
      <c r="H77" s="204">
        <f>(H14*H16+H13*H15*0.5)/(H16+H15*0.5)</f>
        <v>0.12</v>
      </c>
    </row>
    <row r="79" spans="1:8" ht="13.5" thickBot="1">
      <c r="A79" s="17"/>
      <c r="B79" s="9" t="s">
        <v>104</v>
      </c>
      <c r="C79" s="202"/>
      <c r="D79" s="202">
        <f>D41-C41</f>
        <v>0</v>
      </c>
      <c r="E79" s="202">
        <f>E41-D41</f>
        <v>0</v>
      </c>
      <c r="F79" s="202">
        <f>F41-E41</f>
        <v>0</v>
      </c>
      <c r="G79" s="203">
        <f>G41-F41</f>
        <v>0</v>
      </c>
      <c r="H79" s="203">
        <f>H41-G41</f>
        <v>0</v>
      </c>
    </row>
    <row r="80" spans="1:8" ht="12.75">
      <c r="A80" s="17"/>
      <c r="B80" s="16"/>
      <c r="C80" s="202"/>
      <c r="D80" s="202"/>
      <c r="E80" s="202"/>
      <c r="F80" s="202"/>
      <c r="G80" s="202"/>
      <c r="H80" s="202"/>
    </row>
    <row r="81" spans="2:8" ht="12.75">
      <c r="B81" s="7" t="s">
        <v>54</v>
      </c>
      <c r="C81" s="1"/>
      <c r="D81" s="1"/>
      <c r="E81" s="1"/>
      <c r="F81" s="1"/>
      <c r="G81" s="1"/>
      <c r="H81" s="1"/>
    </row>
    <row r="82" spans="1:8" ht="12.75">
      <c r="A82" s="14">
        <v>47</v>
      </c>
      <c r="B82" s="1" t="s">
        <v>53</v>
      </c>
      <c r="C82" s="3">
        <f>C8</f>
        <v>60000</v>
      </c>
      <c r="D82" s="3">
        <f>D8</f>
        <v>57937.5</v>
      </c>
      <c r="E82" s="3">
        <f>E8</f>
        <v>55625</v>
      </c>
      <c r="F82" s="3">
        <f>F8</f>
        <v>52687.5</v>
      </c>
      <c r="G82" s="3">
        <f>G8</f>
        <v>49000</v>
      </c>
      <c r="H82" s="3">
        <f>H8</f>
        <v>44375</v>
      </c>
    </row>
    <row r="83" spans="1:8" ht="12.75">
      <c r="A83" s="14">
        <v>48</v>
      </c>
      <c r="B83" s="1" t="s">
        <v>52</v>
      </c>
      <c r="C83" s="3">
        <f>C6</f>
        <v>0</v>
      </c>
      <c r="D83" s="3">
        <f>D6</f>
        <v>4125</v>
      </c>
      <c r="E83" s="3">
        <f>E6</f>
        <v>8750</v>
      </c>
      <c r="F83" s="3">
        <f>F6</f>
        <v>14625</v>
      </c>
      <c r="G83" s="3">
        <f>G6</f>
        <v>22000</v>
      </c>
      <c r="H83" s="3">
        <f>H6</f>
        <v>31250</v>
      </c>
    </row>
    <row r="84" spans="1:8" ht="12.75">
      <c r="A84" s="14">
        <v>49</v>
      </c>
      <c r="B84" s="1" t="s">
        <v>51</v>
      </c>
      <c r="C84" s="8">
        <f>C10</f>
        <v>60000</v>
      </c>
      <c r="D84" s="8">
        <f>D10</f>
        <v>57937.5</v>
      </c>
      <c r="E84" s="8">
        <f>E10</f>
        <v>55625</v>
      </c>
      <c r="F84" s="8">
        <f>F10</f>
        <v>52687.5</v>
      </c>
      <c r="G84" s="8">
        <f>G10</f>
        <v>49000</v>
      </c>
      <c r="H84" s="8">
        <f>H10</f>
        <v>44375</v>
      </c>
    </row>
    <row r="85" spans="1:8" ht="13.5" thickBot="1">
      <c r="A85" s="15">
        <v>50</v>
      </c>
      <c r="B85" s="9" t="s">
        <v>50</v>
      </c>
      <c r="C85" s="10">
        <f>SUM(C82:C84)</f>
        <v>120000</v>
      </c>
      <c r="D85" s="10">
        <f>SUM(D82:D84)</f>
        <v>120000</v>
      </c>
      <c r="E85" s="10">
        <f>SUM(E82:E84)</f>
        <v>120000</v>
      </c>
      <c r="F85" s="10">
        <f>SUM(F82:F84)</f>
        <v>120000</v>
      </c>
      <c r="G85" s="10">
        <f>SUM(G82:G84)</f>
        <v>120000</v>
      </c>
      <c r="H85" s="10">
        <f>SUM(H82:H84)</f>
        <v>120000</v>
      </c>
    </row>
    <row r="87" spans="1:11" ht="12.75">
      <c r="A87" s="18"/>
      <c r="B87" s="201" t="s">
        <v>36</v>
      </c>
      <c r="C87" s="201">
        <v>0</v>
      </c>
      <c r="D87" s="200">
        <f>C87+50000</f>
        <v>50000</v>
      </c>
      <c r="E87" s="200">
        <f>D87+50000</f>
        <v>100000</v>
      </c>
      <c r="F87" s="200">
        <f>E87+50000</f>
        <v>150000</v>
      </c>
      <c r="G87" s="200">
        <f>F87+50000</f>
        <v>200000</v>
      </c>
      <c r="H87" s="200">
        <f>G87+50000</f>
        <v>250000</v>
      </c>
      <c r="I87" s="19"/>
      <c r="J87" s="19"/>
      <c r="K87" s="19"/>
    </row>
    <row r="88" spans="1:11" ht="12.75">
      <c r="A88" s="189">
        <v>10</v>
      </c>
      <c r="B88" s="199" t="s">
        <v>48</v>
      </c>
      <c r="C88" s="198">
        <f>C14</f>
        <v>0.12</v>
      </c>
      <c r="D88" s="198">
        <f>D14</f>
        <v>0.1220119030752</v>
      </c>
      <c r="E88" s="198">
        <f>E14</f>
        <v>0.12415880433163923</v>
      </c>
      <c r="F88" s="198">
        <f>F14</f>
        <v>0.126743983570081</v>
      </c>
      <c r="G88" s="198">
        <f>G14</f>
        <v>0.12979959839195493</v>
      </c>
      <c r="H88" s="197">
        <f>H14</f>
        <v>0.13338539126015656</v>
      </c>
      <c r="I88" s="174"/>
      <c r="J88" s="174"/>
      <c r="K88" s="174"/>
    </row>
    <row r="89" spans="1:11" ht="12.75">
      <c r="A89" s="185"/>
      <c r="B89" s="196" t="s">
        <v>47</v>
      </c>
      <c r="C89" s="184"/>
      <c r="D89" s="184"/>
      <c r="E89" s="184"/>
      <c r="F89" s="184"/>
      <c r="G89" s="195"/>
      <c r="H89" s="174"/>
      <c r="I89" s="174"/>
      <c r="J89" s="174"/>
      <c r="K89" s="174"/>
    </row>
    <row r="90" spans="1:11" ht="12.75">
      <c r="A90" s="191">
        <v>41</v>
      </c>
      <c r="B90" s="176" t="s">
        <v>103</v>
      </c>
      <c r="C90" s="194">
        <f>C84-D84</f>
        <v>2062.5</v>
      </c>
      <c r="D90" s="194">
        <f>D84-E84</f>
        <v>2312.5</v>
      </c>
      <c r="E90" s="194">
        <f>E84-F84</f>
        <v>2937.5</v>
      </c>
      <c r="F90" s="194">
        <f>F84-G84</f>
        <v>3687.5</v>
      </c>
      <c r="G90" s="193">
        <f>G84-H84</f>
        <v>4625</v>
      </c>
      <c r="H90" s="174"/>
      <c r="I90" s="174"/>
      <c r="J90" s="174"/>
      <c r="K90" s="174"/>
    </row>
    <row r="91" spans="1:11" ht="12.75">
      <c r="A91" s="191">
        <v>42</v>
      </c>
      <c r="B91" s="176" t="s">
        <v>45</v>
      </c>
      <c r="C91" s="190">
        <f>C90/(C84/C88-D84/D88)</f>
        <v>0.0820119030752001</v>
      </c>
      <c r="D91" s="190">
        <f>D90/(D84/D88-E84/E88)</f>
        <v>0.08617070740683926</v>
      </c>
      <c r="E91" s="190">
        <f>E90/(E84/E88-F84/F88)</f>
        <v>0.09090278790172002</v>
      </c>
      <c r="F91" s="190">
        <f>F90/(F84/F88-G84/G88)</f>
        <v>0.09654358196203595</v>
      </c>
      <c r="G91" s="192">
        <f>G90/(G84/G88-H84/H88)</f>
        <v>0.10318498965211151</v>
      </c>
      <c r="H91" s="174"/>
      <c r="I91" s="174"/>
      <c r="J91" s="174"/>
      <c r="K91" s="174"/>
    </row>
    <row r="92" spans="1:11" ht="12.75">
      <c r="A92" s="191"/>
      <c r="B92" s="176"/>
      <c r="C92" s="190"/>
      <c r="D92" s="190"/>
      <c r="E92" s="190"/>
      <c r="F92" s="190"/>
      <c r="G92" s="190"/>
      <c r="H92" s="174"/>
      <c r="I92" s="174"/>
      <c r="J92" s="174"/>
      <c r="K92" s="174"/>
    </row>
    <row r="93" spans="1:11" ht="12.75">
      <c r="A93" s="189"/>
      <c r="B93" s="188" t="s">
        <v>0</v>
      </c>
      <c r="C93" s="187">
        <v>0</v>
      </c>
      <c r="D93" s="187">
        <v>0.1</v>
      </c>
      <c r="E93" s="187">
        <v>0.2</v>
      </c>
      <c r="F93" s="187">
        <v>0.3</v>
      </c>
      <c r="G93" s="187">
        <v>0.4</v>
      </c>
      <c r="H93" s="186">
        <v>0.5</v>
      </c>
      <c r="I93" s="174"/>
      <c r="J93" s="174"/>
      <c r="K93" s="174"/>
    </row>
    <row r="94" spans="1:11" ht="12.75">
      <c r="A94" s="185">
        <v>43</v>
      </c>
      <c r="B94" s="184" t="s">
        <v>35</v>
      </c>
      <c r="C94" s="183">
        <f>C14-C13</f>
        <v>0.039999999999999994</v>
      </c>
      <c r="D94" s="183">
        <f>D14-D13</f>
        <v>0.039999999999999994</v>
      </c>
      <c r="E94" s="183">
        <f>E14-E13</f>
        <v>0.039999999999999994</v>
      </c>
      <c r="F94" s="183">
        <f>F14-F13</f>
        <v>0.04000000000000001</v>
      </c>
      <c r="G94" s="183">
        <f>G14-G13</f>
        <v>0.04000000000000001</v>
      </c>
      <c r="H94" s="182">
        <f>H14-H13</f>
        <v>0.039999999999999994</v>
      </c>
      <c r="I94" s="174"/>
      <c r="J94" s="174"/>
      <c r="K94" s="174"/>
    </row>
    <row r="95" spans="1:11" ht="12.75">
      <c r="A95" s="181">
        <v>44</v>
      </c>
      <c r="B95" s="180" t="s">
        <v>34</v>
      </c>
      <c r="C95" s="179">
        <f>C14-C13*0.5</f>
        <v>0.07999999999999999</v>
      </c>
      <c r="D95" s="179">
        <f>D14-D13*0.5</f>
        <v>0.0810059515376</v>
      </c>
      <c r="E95" s="179">
        <f>E14-E13*0.5</f>
        <v>0.0820794021658196</v>
      </c>
      <c r="F95" s="179">
        <f>F14-F13*0.5</f>
        <v>0.0833719917850405</v>
      </c>
      <c r="G95" s="179">
        <f>G14-G13*0.5</f>
        <v>0.08489979919597747</v>
      </c>
      <c r="H95" s="178">
        <f>H14-H13*0.5</f>
        <v>0.08669269563007828</v>
      </c>
      <c r="I95" s="174"/>
      <c r="J95" s="174"/>
      <c r="K95" s="174"/>
    </row>
    <row r="96" spans="1:11" ht="12.75">
      <c r="A96" s="177"/>
      <c r="B96" s="176" t="s">
        <v>102</v>
      </c>
      <c r="C96" s="175">
        <v>0.08</v>
      </c>
      <c r="D96" s="175">
        <v>0.082</v>
      </c>
      <c r="E96" s="175">
        <v>0.0842</v>
      </c>
      <c r="F96" s="175">
        <v>0.0867</v>
      </c>
      <c r="G96" s="175">
        <v>0.0898</v>
      </c>
      <c r="H96" s="175">
        <v>0.0934</v>
      </c>
      <c r="I96" s="174"/>
      <c r="J96" s="174"/>
      <c r="K96" s="174"/>
    </row>
    <row r="97" spans="1:11" ht="12.75">
      <c r="A97" s="177"/>
      <c r="B97" s="176" t="s">
        <v>101</v>
      </c>
      <c r="C97" s="175">
        <v>0.12</v>
      </c>
      <c r="D97" s="175">
        <v>0.122</v>
      </c>
      <c r="E97" s="175">
        <v>0.1242</v>
      </c>
      <c r="F97" s="175">
        <v>0.1267</v>
      </c>
      <c r="G97" s="175">
        <v>0.1298</v>
      </c>
      <c r="H97" s="175">
        <v>0.1334</v>
      </c>
      <c r="I97" s="174"/>
      <c r="J97" s="174"/>
      <c r="K97" s="174"/>
    </row>
    <row r="98" spans="2:8" ht="12.75">
      <c r="B98" s="1" t="s">
        <v>43</v>
      </c>
      <c r="C98" s="173" t="e">
        <f>(C6-C96*C15)/(C6+C15)</f>
        <v>#DIV/0!</v>
      </c>
      <c r="D98" s="173">
        <f>(D6-D96*D15)/(D6+D15)</f>
        <v>1.1000872694817335E-05</v>
      </c>
      <c r="E98" s="173">
        <f>(E6-E96*E15)/(E6+E15)</f>
        <v>-3.799781747486468E-05</v>
      </c>
      <c r="F98" s="173">
        <f>(F6-F96*F15)/(F6+F15)</f>
        <v>4.047279832779487E-05</v>
      </c>
      <c r="G98" s="173">
        <f>(G6-G96*G15)/(G6+G15)</f>
        <v>-3.6851550108261663E-07</v>
      </c>
      <c r="H98" s="173">
        <f>(H6-H96*H15)/(H6+H15)</f>
        <v>-1.3361016124970553E-05</v>
      </c>
    </row>
    <row r="99" spans="2:8" ht="12.75">
      <c r="B99" s="1" t="s">
        <v>42</v>
      </c>
      <c r="C99" s="173">
        <f>(C10-C16*C97)/(C10+C16)</f>
        <v>0</v>
      </c>
      <c r="D99" s="173">
        <f>(D10-D16*D97)/(D10+D16)</f>
        <v>1.0608688880554182E-05</v>
      </c>
      <c r="E99" s="173">
        <f>(E10-E16*E97)/(E10+E16)</f>
        <v>-3.664577300114029E-05</v>
      </c>
      <c r="F99" s="173">
        <f>(F10-F16*F97)/(F10+F16)</f>
        <v>3.90359928451725E-05</v>
      </c>
      <c r="G99" s="173">
        <f>(G10-G16*G97)/(G10+G16)</f>
        <v>-3.554683907037761E-07</v>
      </c>
      <c r="H99" s="173">
        <f>(H10-H16*H97)/(H10+H16)</f>
        <v>-1.288947250959109E-05</v>
      </c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4" t="s">
        <v>39</v>
      </c>
      <c r="D128" s="172">
        <f>D12-C12</f>
        <v>0.0025000000000000022</v>
      </c>
      <c r="E128" s="172">
        <f>E12-D12</f>
        <v>0.0049999999999999906</v>
      </c>
      <c r="F128" s="172">
        <f>F12-E12</f>
        <v>0.010000000000000009</v>
      </c>
      <c r="G128" s="172">
        <f>G12-F12</f>
        <v>0.012499999999999997</v>
      </c>
      <c r="H128" s="172">
        <f>H12-G12</f>
        <v>0.015</v>
      </c>
    </row>
    <row r="129" spans="2:8" ht="12.75">
      <c r="B129" s="14" t="s">
        <v>38</v>
      </c>
      <c r="D129" s="172">
        <f>D14-C14</f>
        <v>0.0020119030752000083</v>
      </c>
      <c r="E129" s="172">
        <f>E14-D14</f>
        <v>0.0021469012564392237</v>
      </c>
      <c r="F129" s="172">
        <f>F14-E14</f>
        <v>0.0025851792384417593</v>
      </c>
      <c r="G129" s="172">
        <f>G14-F14</f>
        <v>0.003055614821873942</v>
      </c>
      <c r="H129" s="172">
        <f>H14-G14</f>
        <v>0.003585792868201626</v>
      </c>
    </row>
    <row r="130" spans="2:8" ht="12.75">
      <c r="B130" s="167" t="s">
        <v>35</v>
      </c>
      <c r="C130" s="172">
        <f>C14-C12</f>
        <v>0.039999999999999994</v>
      </c>
      <c r="D130" s="172">
        <f>D14-D12</f>
        <v>0.0395119030752</v>
      </c>
      <c r="E130" s="172">
        <f>E14-E12</f>
        <v>0.03665880433163923</v>
      </c>
      <c r="F130" s="172">
        <f>F14-F12</f>
        <v>0.029243983570080984</v>
      </c>
      <c r="G130" s="172">
        <f>G14-G12</f>
        <v>0.01979959839195493</v>
      </c>
      <c r="H130" s="172">
        <f>H14-H12</f>
        <v>0.008385391260156555</v>
      </c>
    </row>
    <row r="131" spans="1:11" ht="13.5" thickBot="1">
      <c r="A131" s="15"/>
      <c r="B131" s="171" t="s">
        <v>34</v>
      </c>
      <c r="C131" s="170">
        <f>C14-C12*0.5</f>
        <v>0.07999999999999999</v>
      </c>
      <c r="D131" s="170">
        <f>D14-D12*0.5</f>
        <v>0.08076190307520001</v>
      </c>
      <c r="E131" s="170">
        <f>E14-E12*0.5</f>
        <v>0.08040880433163923</v>
      </c>
      <c r="F131" s="170">
        <f>F14-F12*0.5</f>
        <v>0.07799398357008099</v>
      </c>
      <c r="G131" s="170">
        <f>G14-G12*0.5</f>
        <v>0.07479959839195494</v>
      </c>
      <c r="H131" s="170">
        <f>H14-H12*0.5</f>
        <v>0.07088539126015656</v>
      </c>
      <c r="I131" s="169"/>
      <c r="J131" s="169"/>
      <c r="K131" s="169"/>
    </row>
    <row r="132" spans="2:8" ht="12.75">
      <c r="B132" s="167" t="s">
        <v>100</v>
      </c>
      <c r="C132" s="166"/>
      <c r="D132" s="166"/>
      <c r="E132" s="166"/>
      <c r="F132" s="166"/>
      <c r="G132" s="166"/>
      <c r="H132" s="166"/>
    </row>
    <row r="133" spans="2:8" ht="12.75">
      <c r="B133" s="167" t="s">
        <v>99</v>
      </c>
      <c r="C133" s="166"/>
      <c r="D133" s="166">
        <f>D14-D12*0.5</f>
        <v>0.08076190307520001</v>
      </c>
      <c r="E133" s="166">
        <f>E14-E12*0.5</f>
        <v>0.08040880433163923</v>
      </c>
      <c r="F133" s="166">
        <f>F14-F12*0.5</f>
        <v>0.07799398357008099</v>
      </c>
      <c r="G133" s="168">
        <f>G14-G12*0.5</f>
        <v>0.07479959839195494</v>
      </c>
      <c r="H133" s="168">
        <f>H14-H12*0.5</f>
        <v>0.07088539126015656</v>
      </c>
    </row>
    <row r="134" spans="2:8" ht="12.75">
      <c r="B134" s="167" t="s">
        <v>98</v>
      </c>
      <c r="C134" s="166"/>
      <c r="D134" s="166">
        <f>(C16*(D14-C14)+C15*0.5*(D12-C12))/50000</f>
        <v>0.020119030752000083</v>
      </c>
      <c r="E134" s="166">
        <f>(D16*(E14-D14)+D15*0.5*(E12-D12))/50000</f>
        <v>0.022904052098397038</v>
      </c>
      <c r="F134" s="166">
        <f>(E16*(F14-E14)+E15*0.5*(F12-E12))/50000</f>
        <v>0.03356098955979184</v>
      </c>
      <c r="G134" s="168">
        <f>(F16*(G14-F14)+F15*0.5*(G12-F12))/50000</f>
        <v>0.04647934283643901</v>
      </c>
      <c r="H134" s="168">
        <f>(G16*(H14-G14)+G15*0.5*(H12-G12))/50000</f>
        <v>0.06382159014556922</v>
      </c>
    </row>
    <row r="135" spans="2:8" ht="12.75">
      <c r="B135" s="167"/>
      <c r="C135" s="166"/>
      <c r="D135" s="166"/>
      <c r="E135" s="166"/>
      <c r="F135" s="166"/>
      <c r="G135" s="166"/>
      <c r="H135" s="166"/>
    </row>
    <row r="137" ht="12.75">
      <c r="B137" s="165" t="s">
        <v>97</v>
      </c>
    </row>
    <row r="138" spans="1:8" ht="12.75">
      <c r="A138" s="14">
        <v>9</v>
      </c>
      <c r="B138" s="1" t="s">
        <v>9</v>
      </c>
      <c r="C138" s="5">
        <v>0.08</v>
      </c>
      <c r="D138" s="5">
        <v>0.0825</v>
      </c>
      <c r="E138" s="5">
        <v>0.0875</v>
      </c>
      <c r="F138" s="5">
        <v>0.0975</v>
      </c>
      <c r="G138" s="5">
        <v>0.11</v>
      </c>
      <c r="H138" s="5">
        <v>0.125</v>
      </c>
    </row>
    <row r="139" spans="1:8" ht="12.75">
      <c r="A139" s="14">
        <v>10</v>
      </c>
      <c r="B139" s="1" t="s">
        <v>10</v>
      </c>
      <c r="C139" s="5">
        <v>0.12</v>
      </c>
      <c r="D139" s="5">
        <v>0.125</v>
      </c>
      <c r="E139" s="5">
        <v>0.1325</v>
      </c>
      <c r="F139" s="5">
        <v>0.145</v>
      </c>
      <c r="G139" s="5">
        <v>0.16</v>
      </c>
      <c r="H139" s="5">
        <v>0.18</v>
      </c>
    </row>
    <row r="141" spans="7:8" ht="12.75">
      <c r="G141" s="164"/>
      <c r="H141" s="164"/>
    </row>
    <row r="142" spans="4:9" ht="12.75">
      <c r="D142" s="164" t="s">
        <v>96</v>
      </c>
      <c r="E142" s="164"/>
      <c r="F142" s="164"/>
      <c r="G142" s="164" t="s">
        <v>95</v>
      </c>
      <c r="H142" s="164"/>
      <c r="I142" s="164"/>
    </row>
    <row r="143" spans="4:9" ht="12.75">
      <c r="D143" t="s">
        <v>94</v>
      </c>
      <c r="E143" t="s">
        <v>93</v>
      </c>
      <c r="F143" t="s">
        <v>92</v>
      </c>
      <c r="G143" t="s">
        <v>94</v>
      </c>
      <c r="H143" t="s">
        <v>93</v>
      </c>
      <c r="I143" t="s">
        <v>92</v>
      </c>
    </row>
    <row r="144" spans="2:10" ht="12.75">
      <c r="B144">
        <v>0</v>
      </c>
      <c r="C144" t="s">
        <v>91</v>
      </c>
      <c r="J144" t="s">
        <v>90</v>
      </c>
    </row>
    <row r="145" spans="2:10" ht="12.75">
      <c r="B145">
        <f>B144+1</f>
        <v>1</v>
      </c>
      <c r="C145">
        <v>0.06</v>
      </c>
      <c r="D145">
        <v>110</v>
      </c>
      <c r="E145">
        <v>0.1</v>
      </c>
      <c r="F145">
        <f>D145/E145</f>
        <v>1100</v>
      </c>
      <c r="G145">
        <v>200</v>
      </c>
      <c r="H145">
        <v>0.17</v>
      </c>
      <c r="I145">
        <f>G145/H145</f>
        <v>1176.4705882352941</v>
      </c>
      <c r="J145">
        <f>(I145+F145)/2</f>
        <v>1138.235294117647</v>
      </c>
    </row>
    <row r="146" spans="2:10" ht="12.75">
      <c r="B146">
        <f>B145+1</f>
        <v>2</v>
      </c>
      <c r="C146">
        <v>0.06</v>
      </c>
      <c r="D146">
        <v>120</v>
      </c>
      <c r="E146">
        <v>0.1</v>
      </c>
      <c r="F146">
        <f>D146/E146</f>
        <v>1200</v>
      </c>
      <c r="G146">
        <v>200</v>
      </c>
      <c r="H146">
        <v>0.17</v>
      </c>
      <c r="I146">
        <f>G146/H146</f>
        <v>1176.4705882352941</v>
      </c>
      <c r="J146">
        <f>(I146+F146)/2</f>
        <v>1188.235294117647</v>
      </c>
    </row>
    <row r="147" spans="2:10" ht="12.75">
      <c r="B147">
        <f>B146+1</f>
        <v>3</v>
      </c>
      <c r="C147">
        <v>0.06</v>
      </c>
      <c r="D147">
        <v>110</v>
      </c>
      <c r="E147">
        <v>0.1</v>
      </c>
      <c r="F147">
        <f>D147/E147</f>
        <v>1100</v>
      </c>
      <c r="G147">
        <v>200</v>
      </c>
      <c r="H147">
        <v>0.17</v>
      </c>
      <c r="I147">
        <f>G147/H147</f>
        <v>1176.4705882352941</v>
      </c>
      <c r="J147">
        <f>(I147+F147)/2</f>
        <v>1138.235294117647</v>
      </c>
    </row>
    <row r="148" spans="2:10" ht="12.75">
      <c r="B148">
        <f>B147+1</f>
        <v>4</v>
      </c>
      <c r="C148">
        <v>0.06</v>
      </c>
      <c r="D148">
        <v>120</v>
      </c>
      <c r="E148">
        <v>0.1</v>
      </c>
      <c r="F148">
        <f>D148/E148</f>
        <v>1200</v>
      </c>
      <c r="G148">
        <v>200</v>
      </c>
      <c r="H148">
        <v>0.17</v>
      </c>
      <c r="I148">
        <f>G148/H148</f>
        <v>1176.4705882352941</v>
      </c>
      <c r="J148">
        <f>(I148+F148)/2</f>
        <v>1188.235294117647</v>
      </c>
    </row>
    <row r="149" spans="2:10" ht="12.75">
      <c r="B149">
        <f>B148+1</f>
        <v>5</v>
      </c>
      <c r="C149">
        <v>0.06</v>
      </c>
      <c r="D149">
        <v>110</v>
      </c>
      <c r="E149">
        <v>0.1</v>
      </c>
      <c r="F149">
        <f>D149/E149</f>
        <v>1100</v>
      </c>
      <c r="G149">
        <v>200</v>
      </c>
      <c r="H149">
        <v>0.17</v>
      </c>
      <c r="I149">
        <f>G149/H149</f>
        <v>1176.4705882352941</v>
      </c>
      <c r="J149">
        <f>(I149+F149)/2</f>
        <v>1138.235294117647</v>
      </c>
    </row>
    <row r="150" spans="2:10" ht="12.75">
      <c r="B150">
        <f>B149+1</f>
        <v>6</v>
      </c>
      <c r="C150">
        <v>0.06</v>
      </c>
      <c r="D150">
        <v>120</v>
      </c>
      <c r="E150">
        <v>0.1</v>
      </c>
      <c r="F150">
        <f>D150/E150</f>
        <v>1200</v>
      </c>
      <c r="G150">
        <v>200</v>
      </c>
      <c r="H150">
        <v>0.17</v>
      </c>
      <c r="I150">
        <f>G150/H150</f>
        <v>1176.4705882352941</v>
      </c>
      <c r="J150">
        <f>(I150+F150)/2</f>
        <v>1188.235294117647</v>
      </c>
    </row>
    <row r="151" spans="2:10" ht="12.75">
      <c r="B151">
        <f>B150+1</f>
        <v>7</v>
      </c>
      <c r="C151">
        <v>0.06</v>
      </c>
      <c r="D151">
        <v>110</v>
      </c>
      <c r="E151">
        <v>0.1</v>
      </c>
      <c r="F151">
        <f>D151/E151</f>
        <v>1100</v>
      </c>
      <c r="G151">
        <v>200</v>
      </c>
      <c r="H151">
        <v>0.17</v>
      </c>
      <c r="I151">
        <f>G151/H151</f>
        <v>1176.4705882352941</v>
      </c>
      <c r="J151">
        <f>(I151+F151)/2</f>
        <v>1138.235294117647</v>
      </c>
    </row>
    <row r="152" spans="2:10" ht="12.75">
      <c r="B152">
        <f>B151+1</f>
        <v>8</v>
      </c>
      <c r="C152">
        <v>0.06</v>
      </c>
      <c r="D152">
        <v>120</v>
      </c>
      <c r="E152">
        <v>0.1</v>
      </c>
      <c r="F152">
        <f>D152/E152</f>
        <v>1200</v>
      </c>
      <c r="G152">
        <v>200</v>
      </c>
      <c r="H152">
        <v>0.17</v>
      </c>
      <c r="I152">
        <f>G152/H152</f>
        <v>1176.4705882352941</v>
      </c>
      <c r="J152">
        <f>(I152+F152)/2</f>
        <v>1188.235294117647</v>
      </c>
    </row>
    <row r="153" spans="2:10" ht="12.75">
      <c r="B153">
        <f>B152+1</f>
        <v>9</v>
      </c>
      <c r="C153">
        <v>0.06</v>
      </c>
      <c r="D153">
        <v>110</v>
      </c>
      <c r="E153">
        <v>0.1</v>
      </c>
      <c r="F153">
        <f>D153/E153</f>
        <v>1100</v>
      </c>
      <c r="G153">
        <v>200</v>
      </c>
      <c r="H153">
        <v>0.17</v>
      </c>
      <c r="I153">
        <f>G153/H153</f>
        <v>1176.4705882352941</v>
      </c>
      <c r="J153">
        <f>(I153+F153)/2</f>
        <v>1138.235294117647</v>
      </c>
    </row>
    <row r="154" spans="2:10" ht="12.75">
      <c r="B154">
        <f>B153+1</f>
        <v>10</v>
      </c>
      <c r="C154">
        <v>0.06</v>
      </c>
      <c r="D154">
        <v>120</v>
      </c>
      <c r="E154">
        <v>0.1</v>
      </c>
      <c r="F154">
        <f>D154/E154</f>
        <v>1200</v>
      </c>
      <c r="G154">
        <v>200</v>
      </c>
      <c r="H154">
        <v>0.17</v>
      </c>
      <c r="I154">
        <f>G154/H154</f>
        <v>1176.4705882352941</v>
      </c>
      <c r="J154">
        <f>(I154+F154)/2</f>
        <v>1188.235294117647</v>
      </c>
    </row>
    <row r="155" spans="2:10" ht="12.75">
      <c r="B155">
        <f>B154+1</f>
        <v>11</v>
      </c>
      <c r="C155">
        <v>0.06</v>
      </c>
      <c r="D155">
        <v>110</v>
      </c>
      <c r="E155">
        <v>0.1</v>
      </c>
      <c r="F155">
        <f>D155/E155</f>
        <v>1100</v>
      </c>
      <c r="G155">
        <v>200</v>
      </c>
      <c r="H155">
        <v>0.17</v>
      </c>
      <c r="I155">
        <f>G155/H155</f>
        <v>1176.4705882352941</v>
      </c>
      <c r="J155">
        <f>(I155+F155)/2</f>
        <v>1138.235294117647</v>
      </c>
    </row>
    <row r="156" spans="2:10" ht="12.75">
      <c r="B156">
        <f>B155+1</f>
        <v>12</v>
      </c>
      <c r="C156">
        <v>0.06</v>
      </c>
      <c r="D156">
        <v>120</v>
      </c>
      <c r="E156">
        <v>0.1</v>
      </c>
      <c r="F156">
        <f>D156/E156</f>
        <v>1200</v>
      </c>
      <c r="G156">
        <v>200</v>
      </c>
      <c r="H156">
        <v>0.17</v>
      </c>
      <c r="I156">
        <f>G156/H156</f>
        <v>1176.4705882352941</v>
      </c>
      <c r="J156">
        <f>(I156+F156)/2</f>
        <v>1188.235294117647</v>
      </c>
    </row>
    <row r="157" spans="2:10" ht="12.75">
      <c r="B157">
        <f>B156+1</f>
        <v>13</v>
      </c>
      <c r="C157">
        <v>0.06</v>
      </c>
      <c r="D157">
        <v>110</v>
      </c>
      <c r="E157">
        <v>0.1</v>
      </c>
      <c r="F157">
        <f>D157/E157</f>
        <v>1100</v>
      </c>
      <c r="G157">
        <v>200</v>
      </c>
      <c r="H157">
        <v>0.17</v>
      </c>
      <c r="I157">
        <f>G157/H157</f>
        <v>1176.4705882352941</v>
      </c>
      <c r="J157">
        <f>(I157+F157)/2</f>
        <v>1138.235294117647</v>
      </c>
    </row>
    <row r="158" spans="2:10" ht="12.75">
      <c r="B158">
        <f>B157+1</f>
        <v>14</v>
      </c>
      <c r="C158">
        <v>0.06</v>
      </c>
      <c r="D158">
        <v>120</v>
      </c>
      <c r="E158">
        <v>0.1</v>
      </c>
      <c r="F158">
        <f>D158/E158</f>
        <v>1200</v>
      </c>
      <c r="G158">
        <v>200</v>
      </c>
      <c r="H158">
        <v>0.17</v>
      </c>
      <c r="I158">
        <f>G158/H158</f>
        <v>1176.4705882352941</v>
      </c>
      <c r="J158">
        <f>(I158+F158)/2</f>
        <v>1188.235294117647</v>
      </c>
    </row>
  </sheetData>
  <sheetProtection/>
  <mergeCells count="3">
    <mergeCell ref="G141:H141"/>
    <mergeCell ref="D142:F142"/>
    <mergeCell ref="G142:I1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.875" style="14" customWidth="1"/>
    <col min="2" max="2" width="27.25390625" style="0" customWidth="1"/>
    <col min="3" max="8" width="9.00390625" style="0" customWidth="1"/>
    <col min="9" max="9" width="7.125" style="0" customWidth="1"/>
  </cols>
  <sheetData>
    <row r="1" spans="1:8" ht="12.75">
      <c r="A1" s="20"/>
      <c r="B1" s="1"/>
      <c r="C1" s="1"/>
      <c r="D1" s="1"/>
      <c r="E1" s="1"/>
      <c r="F1" s="1"/>
      <c r="G1" s="1"/>
      <c r="H1" s="1"/>
    </row>
    <row r="2" spans="2:8" ht="15.75">
      <c r="B2" s="1" t="s">
        <v>2</v>
      </c>
      <c r="C2" s="331" t="s">
        <v>192</v>
      </c>
      <c r="D2" s="1"/>
      <c r="E2" s="1"/>
      <c r="F2" s="1"/>
      <c r="G2" s="1"/>
      <c r="H2" s="1"/>
    </row>
    <row r="3" spans="3:8" ht="13.5" thickBot="1">
      <c r="C3" s="2">
        <v>0</v>
      </c>
      <c r="D3" s="2">
        <v>0.1</v>
      </c>
      <c r="E3" s="2">
        <v>0.2</v>
      </c>
      <c r="F3" s="2">
        <v>0.3</v>
      </c>
      <c r="G3" s="2">
        <v>0.4</v>
      </c>
      <c r="H3" s="2">
        <v>0.5</v>
      </c>
    </row>
    <row r="4" spans="1:10" ht="13.5">
      <c r="A4" s="330">
        <v>1</v>
      </c>
      <c r="B4" s="329" t="s">
        <v>0</v>
      </c>
      <c r="C4" s="328">
        <v>0</v>
      </c>
      <c r="D4" s="328">
        <v>0.1</v>
      </c>
      <c r="E4" s="328">
        <v>0.2</v>
      </c>
      <c r="F4" s="328">
        <v>0.3</v>
      </c>
      <c r="G4" s="328">
        <v>0.4</v>
      </c>
      <c r="H4" s="327">
        <v>0.5</v>
      </c>
      <c r="I4" s="32"/>
      <c r="J4" s="32"/>
    </row>
    <row r="5" spans="1:10" ht="13.5">
      <c r="A5" s="241">
        <v>2</v>
      </c>
      <c r="B5" s="70" t="s">
        <v>3</v>
      </c>
      <c r="C5" s="77">
        <v>120000</v>
      </c>
      <c r="D5" s="77">
        <v>120000</v>
      </c>
      <c r="E5" s="77">
        <v>120000</v>
      </c>
      <c r="F5" s="77">
        <v>120000</v>
      </c>
      <c r="G5" s="77">
        <v>120000</v>
      </c>
      <c r="H5" s="152">
        <v>120000</v>
      </c>
      <c r="I5" s="32"/>
      <c r="J5" s="32"/>
    </row>
    <row r="6" spans="1:10" ht="13.5">
      <c r="A6" s="241">
        <v>3</v>
      </c>
      <c r="B6" s="70" t="s">
        <v>4</v>
      </c>
      <c r="C6" s="77">
        <f>C12*C18</f>
        <v>0</v>
      </c>
      <c r="D6" s="77">
        <f>D12*D18</f>
        <v>4125</v>
      </c>
      <c r="E6" s="77">
        <f>E12*E18</f>
        <v>8750</v>
      </c>
      <c r="F6" s="77">
        <f>F12*F18</f>
        <v>14625</v>
      </c>
      <c r="G6" s="77">
        <f>G12*G18</f>
        <v>22000</v>
      </c>
      <c r="H6" s="152">
        <f>H12*H18</f>
        <v>31250</v>
      </c>
      <c r="I6" s="32"/>
      <c r="J6" s="32"/>
    </row>
    <row r="7" spans="1:10" ht="13.5">
      <c r="A7" s="241">
        <v>4</v>
      </c>
      <c r="B7" s="70" t="s">
        <v>5</v>
      </c>
      <c r="C7" s="77">
        <f>C5-C6</f>
        <v>120000</v>
      </c>
      <c r="D7" s="77">
        <f>D5-D6</f>
        <v>115875</v>
      </c>
      <c r="E7" s="77">
        <f>E5-E6</f>
        <v>111250</v>
      </c>
      <c r="F7" s="77">
        <f>F5-F6</f>
        <v>105375</v>
      </c>
      <c r="G7" s="77">
        <f>G5-G6</f>
        <v>98000</v>
      </c>
      <c r="H7" s="152">
        <f>H5-H6</f>
        <v>88750</v>
      </c>
      <c r="I7" s="32"/>
      <c r="J7" s="32"/>
    </row>
    <row r="8" spans="1:10" ht="13.5">
      <c r="A8" s="241">
        <v>5</v>
      </c>
      <c r="B8" s="70" t="s">
        <v>6</v>
      </c>
      <c r="C8" s="77">
        <f>C7*0.5</f>
        <v>60000</v>
      </c>
      <c r="D8" s="77">
        <f>D7*0.5</f>
        <v>57937.5</v>
      </c>
      <c r="E8" s="77">
        <f>E7*0.5</f>
        <v>55625</v>
      </c>
      <c r="F8" s="77">
        <f>F7*0.5</f>
        <v>52687.5</v>
      </c>
      <c r="G8" s="77">
        <f>G7*0.5</f>
        <v>49000</v>
      </c>
      <c r="H8" s="152">
        <f>H7*0.5</f>
        <v>44375</v>
      </c>
      <c r="I8" s="32"/>
      <c r="J8" s="32"/>
    </row>
    <row r="9" spans="1:10" ht="13.5">
      <c r="A9" s="241">
        <v>6</v>
      </c>
      <c r="B9" s="70" t="s">
        <v>7</v>
      </c>
      <c r="C9" s="77">
        <f>C7-C8</f>
        <v>60000</v>
      </c>
      <c r="D9" s="77">
        <f>D7-D8</f>
        <v>57937.5</v>
      </c>
      <c r="E9" s="77">
        <f>E7-E8</f>
        <v>55625</v>
      </c>
      <c r="F9" s="77">
        <f>F7-F8</f>
        <v>52687.5</v>
      </c>
      <c r="G9" s="77">
        <f>G7-G8</f>
        <v>49000</v>
      </c>
      <c r="H9" s="152">
        <f>H7-H8</f>
        <v>44375</v>
      </c>
      <c r="I9" s="32"/>
      <c r="J9" s="32"/>
    </row>
    <row r="10" spans="1:10" ht="13.5">
      <c r="A10" s="241">
        <v>7</v>
      </c>
      <c r="B10" s="70" t="s">
        <v>31</v>
      </c>
      <c r="C10" s="77">
        <f>C9</f>
        <v>60000</v>
      </c>
      <c r="D10" s="77">
        <f>D9</f>
        <v>57937.5</v>
      </c>
      <c r="E10" s="77">
        <f>E9</f>
        <v>55625</v>
      </c>
      <c r="F10" s="77">
        <f>F9</f>
        <v>52687.5</v>
      </c>
      <c r="G10" s="77">
        <f>G9</f>
        <v>49000</v>
      </c>
      <c r="H10" s="152">
        <f>H9</f>
        <v>44375</v>
      </c>
      <c r="I10" s="32"/>
      <c r="J10" s="32"/>
    </row>
    <row r="11" spans="1:10" ht="14.25" thickBot="1">
      <c r="A11" s="308">
        <v>8</v>
      </c>
      <c r="B11" s="27" t="s">
        <v>8</v>
      </c>
      <c r="C11" s="319">
        <f>C10+C6</f>
        <v>60000</v>
      </c>
      <c r="D11" s="319">
        <f>D10+D6</f>
        <v>62062.5</v>
      </c>
      <c r="E11" s="319">
        <f>E10+E6</f>
        <v>64375</v>
      </c>
      <c r="F11" s="319">
        <f>F10+F6</f>
        <v>67312.5</v>
      </c>
      <c r="G11" s="319">
        <f>G10+G6</f>
        <v>71000</v>
      </c>
      <c r="H11" s="318">
        <f>H10+H6</f>
        <v>75625</v>
      </c>
      <c r="I11" s="32"/>
      <c r="J11" s="32"/>
    </row>
    <row r="12" spans="1:10" ht="13.5">
      <c r="A12" s="241">
        <v>9</v>
      </c>
      <c r="B12" s="302" t="s">
        <v>115</v>
      </c>
      <c r="C12" s="326">
        <v>0.08</v>
      </c>
      <c r="D12" s="326">
        <v>0.0825</v>
      </c>
      <c r="E12" s="326">
        <v>0.0875</v>
      </c>
      <c r="F12" s="326">
        <v>0.0975</v>
      </c>
      <c r="G12" s="326">
        <v>0.11</v>
      </c>
      <c r="H12" s="325">
        <v>0.125</v>
      </c>
      <c r="I12" s="32"/>
      <c r="J12" s="32"/>
    </row>
    <row r="13" spans="1:10" ht="13.5">
      <c r="A13" s="241" t="s">
        <v>114</v>
      </c>
      <c r="B13" s="302" t="s">
        <v>113</v>
      </c>
      <c r="C13" s="326">
        <f>0.08+C15*0.5*(C41-0.08)/(C16+C15*0.5)</f>
        <v>0.08</v>
      </c>
      <c r="D13" s="326">
        <f>0.08+D15*0.5*(D41-0.08)/(D16+D15*0.5)</f>
        <v>0.0821545946344787</v>
      </c>
      <c r="E13" s="326">
        <f>0.08+E15*0.5*(E41-0.08)/(E16+E15*0.5)</f>
        <v>0.0848082857533745</v>
      </c>
      <c r="F13" s="326">
        <f>0.08+F15*0.5*(F41-0.08)/(F16+F15*0.5)</f>
        <v>0.08859674441668447</v>
      </c>
      <c r="G13" s="326">
        <f>0.08+G15*0.5*(G41-0.08)/(G16+G15*0.5)</f>
        <v>0.0941439222648916</v>
      </c>
      <c r="H13" s="325">
        <f>0.08+H15*0.5*(H41-0.08)/(H16+H15*0.5)</f>
        <v>0.10268238374806682</v>
      </c>
      <c r="I13" s="32"/>
      <c r="J13" s="32"/>
    </row>
    <row r="14" spans="1:10" ht="14.25" thickBot="1">
      <c r="A14" s="308">
        <v>10</v>
      </c>
      <c r="B14" s="324" t="s">
        <v>10</v>
      </c>
      <c r="C14" s="323">
        <f>0.12+C15/C16*(0.12-0.08)</f>
        <v>0.12</v>
      </c>
      <c r="D14" s="323">
        <f>0.12+D15/D16*(0.12-0.08)</f>
        <v>0.12430918926895741</v>
      </c>
      <c r="E14" s="323">
        <f>0.12+E15/E16*(0.12-0.08)</f>
        <v>0.129616571506749</v>
      </c>
      <c r="F14" s="323">
        <f>0.12+F15/F16*(0.12-0.08)</f>
        <v>0.13719348883336893</v>
      </c>
      <c r="G14" s="323">
        <f>0.12+G15/G16*(0.12-0.08)</f>
        <v>0.1482878445297832</v>
      </c>
      <c r="H14" s="322">
        <f>0.12+H15/H16*(0.12-0.08)</f>
        <v>0.1653647674961336</v>
      </c>
      <c r="I14" s="32"/>
      <c r="J14" s="32"/>
    </row>
    <row r="15" spans="1:10" ht="13.5">
      <c r="A15" s="241">
        <v>11</v>
      </c>
      <c r="B15" s="70" t="s">
        <v>112</v>
      </c>
      <c r="C15" s="77">
        <f>C6/C13</f>
        <v>0</v>
      </c>
      <c r="D15" s="77">
        <f>D6/D13</f>
        <v>50210.216706112464</v>
      </c>
      <c r="E15" s="77">
        <f>E6/E13</f>
        <v>103173.88121067923</v>
      </c>
      <c r="F15" s="77">
        <f>F6/F13</f>
        <v>165073.78568242097</v>
      </c>
      <c r="G15" s="77">
        <f>G6/G13</f>
        <v>233684.7612753893</v>
      </c>
      <c r="H15" s="152">
        <f>H6/H13</f>
        <v>304336.5264744191</v>
      </c>
      <c r="I15" s="32"/>
      <c r="J15" s="32"/>
    </row>
    <row r="16" spans="1:10" ht="13.5">
      <c r="A16" s="241">
        <v>12</v>
      </c>
      <c r="B16" s="70" t="s">
        <v>111</v>
      </c>
      <c r="C16" s="321">
        <f>C10/C14</f>
        <v>500000</v>
      </c>
      <c r="D16" s="321">
        <f>D10/D14</f>
        <v>466075.7610979625</v>
      </c>
      <c r="E16" s="321">
        <f>E10/E14</f>
        <v>429150.37292977364</v>
      </c>
      <c r="F16" s="321">
        <f>F10/F14</f>
        <v>384037.9047725264</v>
      </c>
      <c r="G16" s="321">
        <f>G10/G14</f>
        <v>330438.4129082036</v>
      </c>
      <c r="H16" s="320">
        <f>H10/H14</f>
        <v>268346.1578418603</v>
      </c>
      <c r="I16" s="32"/>
      <c r="J16" s="32"/>
    </row>
    <row r="17" spans="1:10" ht="14.25" thickBot="1">
      <c r="A17" s="308">
        <v>13</v>
      </c>
      <c r="B17" s="27" t="s">
        <v>110</v>
      </c>
      <c r="C17" s="319">
        <f>C15+C16</f>
        <v>500000</v>
      </c>
      <c r="D17" s="319">
        <f>D15+D16</f>
        <v>516285.977804075</v>
      </c>
      <c r="E17" s="319">
        <f>E15+E16</f>
        <v>532324.2541404528</v>
      </c>
      <c r="F17" s="319">
        <f>F15+F16</f>
        <v>549111.6904549474</v>
      </c>
      <c r="G17" s="319">
        <f>G15+G16</f>
        <v>564123.1741835929</v>
      </c>
      <c r="H17" s="318">
        <f>H15+H16</f>
        <v>572682.6843162794</v>
      </c>
      <c r="I17" s="32"/>
      <c r="J17" s="32"/>
    </row>
    <row r="18" spans="1:10" ht="13.5">
      <c r="A18" s="241">
        <v>14</v>
      </c>
      <c r="B18" s="70" t="s">
        <v>14</v>
      </c>
      <c r="C18" s="70">
        <v>0</v>
      </c>
      <c r="D18" s="77">
        <v>50000</v>
      </c>
      <c r="E18" s="77">
        <v>100000</v>
      </c>
      <c r="F18" s="77">
        <v>150000</v>
      </c>
      <c r="G18" s="77">
        <v>200000</v>
      </c>
      <c r="H18" s="152">
        <v>250000</v>
      </c>
      <c r="I18" s="32"/>
      <c r="J18" s="32"/>
    </row>
    <row r="19" spans="1:10" ht="13.5">
      <c r="A19" s="241">
        <v>15</v>
      </c>
      <c r="B19" s="70" t="s">
        <v>15</v>
      </c>
      <c r="C19" s="321">
        <v>500000</v>
      </c>
      <c r="D19" s="321">
        <v>450000</v>
      </c>
      <c r="E19" s="321">
        <v>400000</v>
      </c>
      <c r="F19" s="321">
        <v>350000</v>
      </c>
      <c r="G19" s="321">
        <v>300000</v>
      </c>
      <c r="H19" s="320">
        <v>250000</v>
      </c>
      <c r="I19" s="32"/>
      <c r="J19" s="32"/>
    </row>
    <row r="20" spans="1:10" ht="14.25" thickBot="1">
      <c r="A20" s="308">
        <v>16</v>
      </c>
      <c r="B20" s="27" t="s">
        <v>16</v>
      </c>
      <c r="C20" s="319">
        <v>500000</v>
      </c>
      <c r="D20" s="319">
        <v>500000</v>
      </c>
      <c r="E20" s="319">
        <v>500000</v>
      </c>
      <c r="F20" s="319">
        <v>500000</v>
      </c>
      <c r="G20" s="319">
        <v>500000</v>
      </c>
      <c r="H20" s="318">
        <v>500000</v>
      </c>
      <c r="I20" s="32"/>
      <c r="J20" s="32"/>
    </row>
    <row r="21" spans="1:10" ht="13.5">
      <c r="A21" s="241">
        <v>17</v>
      </c>
      <c r="B21" s="70" t="s">
        <v>17</v>
      </c>
      <c r="C21" s="34">
        <v>0.12</v>
      </c>
      <c r="D21" s="34">
        <v>0.12</v>
      </c>
      <c r="E21" s="34">
        <v>0.12</v>
      </c>
      <c r="F21" s="34">
        <v>0.12</v>
      </c>
      <c r="G21" s="34">
        <v>0.12</v>
      </c>
      <c r="H21" s="33">
        <v>0.12</v>
      </c>
      <c r="I21" s="32"/>
      <c r="J21" s="32"/>
    </row>
    <row r="22" spans="1:10" ht="14.25" thickBot="1">
      <c r="A22" s="308">
        <v>18</v>
      </c>
      <c r="B22" s="27" t="s">
        <v>18</v>
      </c>
      <c r="C22" s="307">
        <f>C9/C19</f>
        <v>0.12</v>
      </c>
      <c r="D22" s="307">
        <f>D9/D19</f>
        <v>0.12875</v>
      </c>
      <c r="E22" s="307">
        <f>E9/E19</f>
        <v>0.1390625</v>
      </c>
      <c r="F22" s="307">
        <f>F9/F19</f>
        <v>0.15053571428571427</v>
      </c>
      <c r="G22" s="307">
        <f>G9/G19</f>
        <v>0.16333333333333333</v>
      </c>
      <c r="H22" s="306">
        <f>H9/H19</f>
        <v>0.1775</v>
      </c>
      <c r="I22" s="32"/>
      <c r="J22" s="32"/>
    </row>
    <row r="23" spans="1:10" ht="13.5">
      <c r="A23" s="241">
        <v>19</v>
      </c>
      <c r="B23" s="70" t="s">
        <v>109</v>
      </c>
      <c r="C23" s="77">
        <v>5000</v>
      </c>
      <c r="D23" s="77">
        <f>5000/(1+D18/D16)</f>
        <v>4515.575001104257</v>
      </c>
      <c r="E23" s="77">
        <f>5000/(1+E18/E16)</f>
        <v>4055.089015185561</v>
      </c>
      <c r="F23" s="77">
        <f>5000/(1+F18/F16)</f>
        <v>3595.6053057330028</v>
      </c>
      <c r="G23" s="77">
        <f>5000/(1+G18/G16)</f>
        <v>3114.7670009090057</v>
      </c>
      <c r="H23" s="152">
        <f>5000/(1+H18/H16)</f>
        <v>2588.484102584288</v>
      </c>
      <c r="I23" s="32"/>
      <c r="J23" s="32"/>
    </row>
    <row r="24" spans="1:10" ht="14.25" thickBot="1">
      <c r="A24" s="308">
        <v>20</v>
      </c>
      <c r="B24" s="27" t="s">
        <v>108</v>
      </c>
      <c r="C24" s="27">
        <f>C16/C23</f>
        <v>100</v>
      </c>
      <c r="D24" s="316">
        <f>D16/D23</f>
        <v>103.2151522195925</v>
      </c>
      <c r="E24" s="316">
        <f>E16/E23</f>
        <v>105.83007458595473</v>
      </c>
      <c r="F24" s="317">
        <f>F16/F23</f>
        <v>106.80758095450528</v>
      </c>
      <c r="G24" s="316">
        <f>G16/G23</f>
        <v>106.08768258164072</v>
      </c>
      <c r="H24" s="315">
        <f>H16/H23</f>
        <v>103.66923156837207</v>
      </c>
      <c r="I24" s="32"/>
      <c r="J24" s="32"/>
    </row>
    <row r="25" spans="1:10" ht="13.5">
      <c r="A25" s="241">
        <v>21</v>
      </c>
      <c r="B25" s="70" t="s">
        <v>107</v>
      </c>
      <c r="C25" s="70">
        <f>C9/C23</f>
        <v>12</v>
      </c>
      <c r="D25" s="314">
        <f>D9/D23</f>
        <v>12.830591892689574</v>
      </c>
      <c r="E25" s="314">
        <f>E9/E23</f>
        <v>13.71733143013498</v>
      </c>
      <c r="F25" s="314">
        <f>F9/F23</f>
        <v>14.653304665001068</v>
      </c>
      <c r="G25" s="314">
        <f>G9/G23</f>
        <v>15.731513781191326</v>
      </c>
      <c r="H25" s="313">
        <f>H9/H23</f>
        <v>17.143238374806682</v>
      </c>
      <c r="I25" s="32"/>
      <c r="J25" s="32"/>
    </row>
    <row r="26" spans="1:10" ht="13.5">
      <c r="A26" s="241">
        <v>22</v>
      </c>
      <c r="B26" s="70" t="s">
        <v>22</v>
      </c>
      <c r="C26" s="312">
        <f>C24/C25</f>
        <v>8.333333333333334</v>
      </c>
      <c r="D26" s="312">
        <f>D24/D25</f>
        <v>8.044457580978856</v>
      </c>
      <c r="E26" s="312">
        <f>E24/E25</f>
        <v>7.715062884130762</v>
      </c>
      <c r="F26" s="312">
        <f>F24/F25</f>
        <v>7.288975654045578</v>
      </c>
      <c r="G26" s="312">
        <f>G24/G25</f>
        <v>6.743641079759258</v>
      </c>
      <c r="H26" s="311">
        <f>H24/H25</f>
        <v>6.04723735981657</v>
      </c>
      <c r="I26" s="32"/>
      <c r="J26" s="32"/>
    </row>
    <row r="27" spans="1:10" ht="13.5">
      <c r="A27" s="241">
        <v>23</v>
      </c>
      <c r="B27" s="70" t="s">
        <v>23</v>
      </c>
      <c r="C27" s="310">
        <v>0</v>
      </c>
      <c r="D27" s="310">
        <v>0.1</v>
      </c>
      <c r="E27" s="310">
        <v>0.2</v>
      </c>
      <c r="F27" s="310">
        <v>0.3</v>
      </c>
      <c r="G27" s="310">
        <v>0.4</v>
      </c>
      <c r="H27" s="309">
        <v>0.5</v>
      </c>
      <c r="I27" s="32"/>
      <c r="J27" s="32"/>
    </row>
    <row r="28" spans="1:10" ht="14.25" thickBot="1">
      <c r="A28" s="308">
        <v>24</v>
      </c>
      <c r="B28" s="27" t="s">
        <v>106</v>
      </c>
      <c r="C28" s="307">
        <f>C15/C17</f>
        <v>0</v>
      </c>
      <c r="D28" s="307">
        <f>D15/D17</f>
        <v>0.09725272206630935</v>
      </c>
      <c r="E28" s="307">
        <f>E15/E17</f>
        <v>0.19381773497672902</v>
      </c>
      <c r="F28" s="307">
        <f>F15/F17</f>
        <v>0.30061968913037496</v>
      </c>
      <c r="G28" s="307">
        <f>G15/G17</f>
        <v>0.41424421468517264</v>
      </c>
      <c r="H28" s="306">
        <f>H15/H17</f>
        <v>0.53142260942945</v>
      </c>
      <c r="I28" s="32"/>
      <c r="J28" s="32"/>
    </row>
    <row r="29" spans="1:10" ht="14.25" thickBot="1">
      <c r="A29" s="151">
        <v>25</v>
      </c>
      <c r="B29" s="305" t="s">
        <v>25</v>
      </c>
      <c r="C29" s="304">
        <f>(C16*C14+C13*0.5*C15)/(C17)</f>
        <v>0.12</v>
      </c>
      <c r="D29" s="304">
        <f>(D16*D14+D13*0.5*D15)/(D17)</f>
        <v>0.11621466121392388</v>
      </c>
      <c r="E29" s="304">
        <f>(E16*E14+E13*0.5*E15)/(E17)</f>
        <v>0.1127132561278508</v>
      </c>
      <c r="F29" s="304">
        <f>(F16*F14+F13*0.5*F15)/(F17)</f>
        <v>0.10926738775182347</v>
      </c>
      <c r="G29" s="304">
        <f>(G16*G14+G13*0.5*G15)/(G17)</f>
        <v>0.10635975039818717</v>
      </c>
      <c r="H29" s="303">
        <f>(H16*H14+H13*0.5*H15)/(H17)</f>
        <v>0.10477006140256091</v>
      </c>
      <c r="I29" s="32"/>
      <c r="J29" s="32"/>
    </row>
    <row r="30" spans="1:10" ht="12.75">
      <c r="A30" s="238">
        <v>26</v>
      </c>
      <c r="B30" s="94" t="s">
        <v>26</v>
      </c>
      <c r="C30" s="125">
        <f>C5*0.5</f>
        <v>60000</v>
      </c>
      <c r="D30" s="125">
        <f>D5*0.5</f>
        <v>60000</v>
      </c>
      <c r="E30" s="125">
        <f>E5*0.5</f>
        <v>60000</v>
      </c>
      <c r="F30" s="125">
        <f>F5*0.5</f>
        <v>60000</v>
      </c>
      <c r="G30" s="125">
        <f>G5*0.5</f>
        <v>60000</v>
      </c>
      <c r="H30" s="237">
        <f>H5*0.5</f>
        <v>60000</v>
      </c>
      <c r="I30" s="23"/>
      <c r="J30" s="23"/>
    </row>
    <row r="31" spans="1:10" ht="13.5" thickBot="1">
      <c r="A31" s="247">
        <v>27</v>
      </c>
      <c r="B31" s="88" t="s">
        <v>27</v>
      </c>
      <c r="C31" s="87">
        <f>C30/C29</f>
        <v>500000</v>
      </c>
      <c r="D31" s="87">
        <f>D30/D29</f>
        <v>516285.977804075</v>
      </c>
      <c r="E31" s="87">
        <f>E30/E29</f>
        <v>532324.2541404528</v>
      </c>
      <c r="F31" s="87">
        <f>F30/F29</f>
        <v>549111.6904549474</v>
      </c>
      <c r="G31" s="87">
        <f>G30/G29</f>
        <v>564123.1741835929</v>
      </c>
      <c r="H31" s="246">
        <f>H30/H29</f>
        <v>572682.6843162794</v>
      </c>
      <c r="I31" s="23"/>
      <c r="J31" s="23"/>
    </row>
    <row r="32" spans="1:10" ht="12.75">
      <c r="A32" s="238"/>
      <c r="B32" s="245" t="s">
        <v>88</v>
      </c>
      <c r="C32" s="94"/>
      <c r="D32" s="94"/>
      <c r="E32" s="94"/>
      <c r="F32" s="94"/>
      <c r="G32" s="94"/>
      <c r="H32" s="105"/>
      <c r="I32" s="23"/>
      <c r="J32" s="23"/>
    </row>
    <row r="33" spans="1:10" ht="12.75">
      <c r="A33" s="238"/>
      <c r="B33" s="245"/>
      <c r="C33" s="94"/>
      <c r="D33" s="94"/>
      <c r="E33" s="94"/>
      <c r="F33" s="94"/>
      <c r="G33" s="94"/>
      <c r="H33" s="105"/>
      <c r="I33" s="23"/>
      <c r="J33" s="23"/>
    </row>
    <row r="34" spans="1:10" ht="12.75">
      <c r="A34" s="244"/>
      <c r="B34" s="224" t="s">
        <v>36</v>
      </c>
      <c r="C34" s="224">
        <v>0</v>
      </c>
      <c r="D34" s="223">
        <f>C34+50000</f>
        <v>50000</v>
      </c>
      <c r="E34" s="223">
        <f>D34+50000</f>
        <v>100000</v>
      </c>
      <c r="F34" s="223">
        <f>E34+50000</f>
        <v>150000</v>
      </c>
      <c r="G34" s="223">
        <f>F34+50000</f>
        <v>200000</v>
      </c>
      <c r="H34" s="243">
        <f>G34+50000</f>
        <v>250000</v>
      </c>
      <c r="I34" s="45"/>
      <c r="J34" s="45"/>
    </row>
    <row r="35" spans="1:10" ht="13.5">
      <c r="A35" s="242">
        <v>5</v>
      </c>
      <c r="B35" s="81" t="s">
        <v>86</v>
      </c>
      <c r="C35" s="158">
        <f>C8</f>
        <v>60000</v>
      </c>
      <c r="D35" s="158">
        <f>D8</f>
        <v>57937.5</v>
      </c>
      <c r="E35" s="158">
        <f>E8</f>
        <v>55625</v>
      </c>
      <c r="F35" s="158">
        <f>F8</f>
        <v>52687.5</v>
      </c>
      <c r="G35" s="158">
        <f>G8</f>
        <v>49000</v>
      </c>
      <c r="H35" s="157">
        <f>H8</f>
        <v>44375</v>
      </c>
      <c r="I35" s="32"/>
      <c r="J35" s="32"/>
    </row>
    <row r="36" spans="1:10" ht="13.5">
      <c r="A36" s="241">
        <v>3</v>
      </c>
      <c r="B36" s="70" t="s">
        <v>85</v>
      </c>
      <c r="C36" s="77">
        <f>C6</f>
        <v>0</v>
      </c>
      <c r="D36" s="77">
        <f>D6</f>
        <v>4125</v>
      </c>
      <c r="E36" s="77">
        <f>E6</f>
        <v>8750</v>
      </c>
      <c r="F36" s="77">
        <f>F6</f>
        <v>14625</v>
      </c>
      <c r="G36" s="77">
        <f>G6</f>
        <v>22000</v>
      </c>
      <c r="H36" s="152">
        <f>H6</f>
        <v>31250</v>
      </c>
      <c r="I36" s="32"/>
      <c r="J36" s="32"/>
    </row>
    <row r="37" spans="1:10" ht="14.25" thickBot="1">
      <c r="A37" s="241">
        <v>7</v>
      </c>
      <c r="B37" s="70" t="s">
        <v>84</v>
      </c>
      <c r="C37" s="77">
        <f>C10</f>
        <v>60000</v>
      </c>
      <c r="D37" s="77">
        <f>D10</f>
        <v>57937.5</v>
      </c>
      <c r="E37" s="77">
        <f>E10</f>
        <v>55625</v>
      </c>
      <c r="F37" s="77">
        <f>F10</f>
        <v>52687.5</v>
      </c>
      <c r="G37" s="77">
        <f>G10</f>
        <v>49000</v>
      </c>
      <c r="H37" s="152">
        <f>H10</f>
        <v>44375</v>
      </c>
      <c r="I37" s="32"/>
      <c r="J37" s="32"/>
    </row>
    <row r="38" spans="1:10" ht="14.25" thickBot="1">
      <c r="A38" s="240">
        <v>2</v>
      </c>
      <c r="B38" s="239" t="s">
        <v>83</v>
      </c>
      <c r="C38" s="154">
        <f>SUM(C35:C37)</f>
        <v>120000</v>
      </c>
      <c r="D38" s="154">
        <f>SUM(D35:D37)</f>
        <v>120000</v>
      </c>
      <c r="E38" s="154">
        <f>SUM(E35:E37)</f>
        <v>120000</v>
      </c>
      <c r="F38" s="154">
        <f>SUM(F35:F37)</f>
        <v>120000</v>
      </c>
      <c r="G38" s="154">
        <f>SUM(G35:G37)</f>
        <v>120000</v>
      </c>
      <c r="H38" s="153">
        <f>SUM(H35:H37)</f>
        <v>120000</v>
      </c>
      <c r="I38" s="32"/>
      <c r="J38" s="32"/>
    </row>
    <row r="39" spans="1:10" ht="14.25" thickBot="1">
      <c r="A39" s="241">
        <v>28</v>
      </c>
      <c r="B39" s="70" t="s">
        <v>82</v>
      </c>
      <c r="C39" s="77">
        <f>C8/C14</f>
        <v>500000</v>
      </c>
      <c r="D39" s="77">
        <f>D8/D14</f>
        <v>466075.7610979625</v>
      </c>
      <c r="E39" s="77">
        <f>E8/E14</f>
        <v>429150.37292977364</v>
      </c>
      <c r="F39" s="77">
        <f>F8/F14</f>
        <v>384037.9047725264</v>
      </c>
      <c r="G39" s="77">
        <f>G8/G14</f>
        <v>330438.4129082036</v>
      </c>
      <c r="H39" s="152">
        <f>H8/H14</f>
        <v>268346.1578418603</v>
      </c>
      <c r="I39" s="23"/>
      <c r="J39" s="23"/>
    </row>
    <row r="40" spans="1:10" ht="14.25" thickBot="1">
      <c r="A40" s="151">
        <v>29</v>
      </c>
      <c r="B40" s="239" t="s">
        <v>81</v>
      </c>
      <c r="C40" s="149">
        <f>C39+C15+C16</f>
        <v>1000000</v>
      </c>
      <c r="D40" s="149">
        <f>D39+D15+D16</f>
        <v>982361.7389020375</v>
      </c>
      <c r="E40" s="149">
        <f>E39+E15+E16</f>
        <v>961474.6270702265</v>
      </c>
      <c r="F40" s="149">
        <f>F39+F15+F16</f>
        <v>933149.5952274739</v>
      </c>
      <c r="G40" s="149">
        <f>G39+G15+G16</f>
        <v>894561.5870917966</v>
      </c>
      <c r="H40" s="148">
        <f>H39+H15+H16</f>
        <v>841028.8421581397</v>
      </c>
      <c r="I40" s="23"/>
      <c r="J40" s="23"/>
    </row>
    <row r="41" spans="1:10" ht="13.5">
      <c r="A41" s="241">
        <v>30</v>
      </c>
      <c r="B41" s="302" t="s">
        <v>80</v>
      </c>
      <c r="C41" s="146">
        <f>C85/C40</f>
        <v>0.12</v>
      </c>
      <c r="D41" s="146">
        <f>D85/D40</f>
        <v>0.12215459463447871</v>
      </c>
      <c r="E41" s="146">
        <f>E85/E40</f>
        <v>0.12480828575337449</v>
      </c>
      <c r="F41" s="146">
        <f>F85/F40</f>
        <v>0.12859674441668445</v>
      </c>
      <c r="G41" s="146">
        <f>G85/G40</f>
        <v>0.13414392226489158</v>
      </c>
      <c r="H41" s="145">
        <f>H85/H40</f>
        <v>0.14268238374806683</v>
      </c>
      <c r="I41" s="23"/>
      <c r="J41" s="23"/>
    </row>
    <row r="42" spans="1:10" ht="13.5">
      <c r="A42" s="278">
        <v>31</v>
      </c>
      <c r="B42" s="229" t="s">
        <v>79</v>
      </c>
      <c r="C42" s="228"/>
      <c r="D42" s="227">
        <f>D41-C41</f>
        <v>0.0021545946344787154</v>
      </c>
      <c r="E42" s="227">
        <f>E41-D41</f>
        <v>0.002653691118895782</v>
      </c>
      <c r="F42" s="227">
        <f>F41-E41</f>
        <v>0.003788458663309957</v>
      </c>
      <c r="G42" s="227">
        <f>G41-F41</f>
        <v>0.00554717784820713</v>
      </c>
      <c r="H42" s="301">
        <f>H41-G41</f>
        <v>0.008538461483175247</v>
      </c>
      <c r="I42" s="140"/>
      <c r="J42" s="140"/>
    </row>
    <row r="43" spans="1:10" ht="12.75">
      <c r="A43" s="238"/>
      <c r="B43" s="126"/>
      <c r="C43" s="125"/>
      <c r="D43" s="125"/>
      <c r="E43" s="125"/>
      <c r="F43" s="125"/>
      <c r="G43" s="125"/>
      <c r="H43" s="237"/>
      <c r="I43" s="23"/>
      <c r="J43" s="23"/>
    </row>
    <row r="44" spans="1:10" ht="12.75">
      <c r="A44" s="238"/>
      <c r="B44" s="126"/>
      <c r="C44" s="125"/>
      <c r="D44" s="125"/>
      <c r="E44" s="125"/>
      <c r="F44" s="125"/>
      <c r="G44" s="125"/>
      <c r="H44" s="237"/>
      <c r="I44" s="23"/>
      <c r="J44" s="23"/>
    </row>
    <row r="45" spans="1:10" ht="12.75">
      <c r="A45" s="238"/>
      <c r="B45" s="126"/>
      <c r="C45" s="125"/>
      <c r="D45" s="125"/>
      <c r="E45" s="125"/>
      <c r="F45" s="125"/>
      <c r="G45" s="125"/>
      <c r="H45" s="237"/>
      <c r="I45" s="23"/>
      <c r="J45" s="23"/>
    </row>
    <row r="46" spans="1:10" ht="12.75">
      <c r="A46" s="244"/>
      <c r="B46" s="224" t="s">
        <v>36</v>
      </c>
      <c r="C46" s="224">
        <v>0</v>
      </c>
      <c r="D46" s="223">
        <f>C46+50000</f>
        <v>50000</v>
      </c>
      <c r="E46" s="223">
        <f>D46+50000</f>
        <v>100000</v>
      </c>
      <c r="F46" s="223">
        <f>E46+50000</f>
        <v>150000</v>
      </c>
      <c r="G46" s="223">
        <f>F46+50000</f>
        <v>200000</v>
      </c>
      <c r="H46" s="243">
        <f>G46+50000</f>
        <v>250000</v>
      </c>
      <c r="I46" s="45"/>
      <c r="J46" s="45"/>
    </row>
    <row r="47" spans="1:10" ht="12.75">
      <c r="A47" s="272">
        <v>32</v>
      </c>
      <c r="B47" s="222" t="s">
        <v>77</v>
      </c>
      <c r="C47" s="137">
        <v>0</v>
      </c>
      <c r="D47" s="137">
        <f>($C40-D40)/2</f>
        <v>8819.130548981251</v>
      </c>
      <c r="E47" s="137">
        <f>($C40-E40)/2</f>
        <v>19262.686464886763</v>
      </c>
      <c r="F47" s="137">
        <f>($C40-F40)/2</f>
        <v>33425.20238626306</v>
      </c>
      <c r="G47" s="137">
        <f>($C40-G40)/2</f>
        <v>52719.20645410172</v>
      </c>
      <c r="H47" s="136">
        <f>($C40-H40)/2</f>
        <v>79485.57892093016</v>
      </c>
      <c r="I47" s="23"/>
      <c r="J47" s="23"/>
    </row>
    <row r="48" spans="1:10" ht="13.5">
      <c r="A48" s="238">
        <v>33</v>
      </c>
      <c r="B48" s="220" t="s">
        <v>76</v>
      </c>
      <c r="C48" s="125"/>
      <c r="D48" s="125">
        <f>D47-C47</f>
        <v>8819.130548981251</v>
      </c>
      <c r="E48" s="125">
        <f>E47-D47</f>
        <v>10443.555915905512</v>
      </c>
      <c r="F48" s="125">
        <f>F47-E47</f>
        <v>14162.515921376296</v>
      </c>
      <c r="G48" s="125">
        <f>G47-F47</f>
        <v>19294.004067838658</v>
      </c>
      <c r="H48" s="237">
        <f>H47-G47</f>
        <v>26766.37246682844</v>
      </c>
      <c r="I48" s="23"/>
      <c r="J48" s="23"/>
    </row>
    <row r="49" spans="1:10" ht="12.75">
      <c r="A49" s="300">
        <v>34</v>
      </c>
      <c r="B49" s="218" t="s">
        <v>75</v>
      </c>
      <c r="C49" s="217"/>
      <c r="D49" s="217">
        <f>(D15-C15)*0.5</f>
        <v>25105.108353056232</v>
      </c>
      <c r="E49" s="217">
        <f>(E15-D15)*0.5</f>
        <v>26481.832252283384</v>
      </c>
      <c r="F49" s="217">
        <f>(F15-E15)*0.5</f>
        <v>30949.95223587087</v>
      </c>
      <c r="G49" s="217">
        <f>(G15-F15)*0.5</f>
        <v>34305.48779648416</v>
      </c>
      <c r="H49" s="299">
        <f>(H15-G15)*0.5</f>
        <v>35325.88259951491</v>
      </c>
      <c r="I49" s="23"/>
      <c r="J49" s="23"/>
    </row>
    <row r="50" spans="1:10" ht="12.75">
      <c r="A50" s="238"/>
      <c r="B50" s="127"/>
      <c r="C50" s="125"/>
      <c r="D50" s="125"/>
      <c r="E50" s="125"/>
      <c r="F50" s="125"/>
      <c r="G50" s="125"/>
      <c r="H50" s="237"/>
      <c r="I50" s="23"/>
      <c r="J50" s="23"/>
    </row>
    <row r="51" spans="1:10" ht="12.75">
      <c r="A51" s="238"/>
      <c r="B51" s="126" t="s">
        <v>74</v>
      </c>
      <c r="C51" s="125"/>
      <c r="D51" s="125"/>
      <c r="E51" s="125"/>
      <c r="F51" s="125"/>
      <c r="G51" s="125"/>
      <c r="H51" s="237"/>
      <c r="I51" s="23"/>
      <c r="J51" s="23"/>
    </row>
    <row r="52" spans="1:10" ht="12.75">
      <c r="A52" s="238">
        <v>30</v>
      </c>
      <c r="B52" s="126" t="s">
        <v>73</v>
      </c>
      <c r="C52" s="125">
        <f>1000000-C31</f>
        <v>500000</v>
      </c>
      <c r="D52" s="125">
        <f>1000000-D31</f>
        <v>483714.022195925</v>
      </c>
      <c r="E52" s="125">
        <f>1000000-E31</f>
        <v>467675.74585954717</v>
      </c>
      <c r="F52" s="125">
        <f>1000000-F31</f>
        <v>450888.3095450526</v>
      </c>
      <c r="G52" s="125">
        <f>1000000-G31</f>
        <v>435876.8258164071</v>
      </c>
      <c r="H52" s="237">
        <f>1000000-H31</f>
        <v>427317.31568372063</v>
      </c>
      <c r="I52" s="23"/>
      <c r="J52" s="23"/>
    </row>
    <row r="53" spans="1:10" ht="12.75">
      <c r="A53" s="238">
        <v>31</v>
      </c>
      <c r="B53" s="98" t="s">
        <v>72</v>
      </c>
      <c r="C53" s="124">
        <f>C8/C52</f>
        <v>0.12</v>
      </c>
      <c r="D53" s="124">
        <f>D8/D52</f>
        <v>0.11977634995359472</v>
      </c>
      <c r="E53" s="124">
        <f>E8/E52</f>
        <v>0.11893924474908595</v>
      </c>
      <c r="F53" s="124">
        <f>F8/F52</f>
        <v>0.11685266369660774</v>
      </c>
      <c r="G53" s="124">
        <f>G8/G52</f>
        <v>0.11241708000470522</v>
      </c>
      <c r="H53" s="297">
        <f>H8/H52</f>
        <v>0.10384554608791983</v>
      </c>
      <c r="I53" s="23"/>
      <c r="J53" s="23"/>
    </row>
    <row r="54" spans="1:10" ht="12.75">
      <c r="A54" s="238"/>
      <c r="B54" s="94"/>
      <c r="C54" s="94"/>
      <c r="D54" s="94"/>
      <c r="E54" s="94"/>
      <c r="F54" s="94"/>
      <c r="G54" s="94"/>
      <c r="H54" s="105"/>
      <c r="I54" s="23"/>
      <c r="J54" s="23"/>
    </row>
    <row r="55" spans="1:10" ht="12.75">
      <c r="A55" s="238"/>
      <c r="B55" s="293" t="s">
        <v>70</v>
      </c>
      <c r="C55" s="94"/>
      <c r="D55" s="94"/>
      <c r="E55" s="94"/>
      <c r="F55" s="94"/>
      <c r="G55" s="94"/>
      <c r="H55" s="105"/>
      <c r="I55" s="23"/>
      <c r="J55" s="23"/>
    </row>
    <row r="56" spans="1:10" ht="12.75">
      <c r="A56" s="238">
        <v>32</v>
      </c>
      <c r="B56" s="94" t="s">
        <v>69</v>
      </c>
      <c r="C56" s="94"/>
      <c r="D56" s="118">
        <f>D12</f>
        <v>0.0825</v>
      </c>
      <c r="E56" s="118">
        <f>D56</f>
        <v>0.0825</v>
      </c>
      <c r="F56" s="118">
        <f>E56</f>
        <v>0.0825</v>
      </c>
      <c r="G56" s="118">
        <f>F56</f>
        <v>0.0825</v>
      </c>
      <c r="H56" s="120">
        <f>G56</f>
        <v>0.0825</v>
      </c>
      <c r="I56" s="23"/>
      <c r="J56" s="23"/>
    </row>
    <row r="57" spans="1:10" ht="12.75">
      <c r="A57" s="238">
        <v>33</v>
      </c>
      <c r="B57" s="94" t="s">
        <v>68</v>
      </c>
      <c r="C57" s="94"/>
      <c r="D57" s="118"/>
      <c r="E57" s="118">
        <f>(E6-D6)/50000</f>
        <v>0.0925</v>
      </c>
      <c r="F57" s="118">
        <f>E57</f>
        <v>0.0925</v>
      </c>
      <c r="G57" s="118">
        <f>F57</f>
        <v>0.0925</v>
      </c>
      <c r="H57" s="120">
        <f>G57</f>
        <v>0.0925</v>
      </c>
      <c r="I57" s="23"/>
      <c r="J57" s="23"/>
    </row>
    <row r="58" spans="1:10" ht="12.75">
      <c r="A58" s="238">
        <v>34</v>
      </c>
      <c r="B58" s="94" t="s">
        <v>68</v>
      </c>
      <c r="C58" s="94"/>
      <c r="D58" s="118"/>
      <c r="E58" s="118"/>
      <c r="F58" s="118">
        <f>(F6-E6)/50000</f>
        <v>0.1175</v>
      </c>
      <c r="G58" s="118">
        <f>F58</f>
        <v>0.1175</v>
      </c>
      <c r="H58" s="120">
        <f>G58</f>
        <v>0.1175</v>
      </c>
      <c r="I58" s="23"/>
      <c r="J58" s="23"/>
    </row>
    <row r="59" spans="1:10" ht="12.75">
      <c r="A59" s="238">
        <v>35</v>
      </c>
      <c r="B59" s="94" t="s">
        <v>68</v>
      </c>
      <c r="C59" s="94"/>
      <c r="D59" s="118"/>
      <c r="E59" s="118"/>
      <c r="F59" s="118"/>
      <c r="G59" s="118">
        <f>(G6-F6)/50000</f>
        <v>0.1475</v>
      </c>
      <c r="H59" s="117">
        <f>G59</f>
        <v>0.1475</v>
      </c>
      <c r="I59" s="23"/>
      <c r="J59" s="23"/>
    </row>
    <row r="60" spans="1:10" ht="12.75">
      <c r="A60" s="238">
        <v>36</v>
      </c>
      <c r="B60" s="94" t="s">
        <v>68</v>
      </c>
      <c r="C60" s="119"/>
      <c r="D60" s="118"/>
      <c r="E60" s="118"/>
      <c r="F60" s="118"/>
      <c r="G60" s="118"/>
      <c r="H60" s="117">
        <f>(H6-G6)/50000</f>
        <v>0.185</v>
      </c>
      <c r="I60" s="23"/>
      <c r="J60" s="23"/>
    </row>
    <row r="61" spans="1:10" ht="12.75">
      <c r="A61" s="238">
        <v>37</v>
      </c>
      <c r="B61" s="99" t="s">
        <v>67</v>
      </c>
      <c r="C61" s="298"/>
      <c r="D61" s="124">
        <f>AVERAGE(D56:D60)</f>
        <v>0.0825</v>
      </c>
      <c r="E61" s="124">
        <f>AVERAGE(E56:E60)</f>
        <v>0.0875</v>
      </c>
      <c r="F61" s="124">
        <f>AVERAGE(F56:F60)</f>
        <v>0.09749999999999999</v>
      </c>
      <c r="G61" s="124">
        <f>AVERAGE(G56:G60)</f>
        <v>0.10999999999999999</v>
      </c>
      <c r="H61" s="297">
        <f>AVERAGE(H56:H60)</f>
        <v>0.125</v>
      </c>
      <c r="I61" s="23"/>
      <c r="J61" s="23"/>
    </row>
    <row r="62" spans="1:10" ht="12.75">
      <c r="A62" s="238"/>
      <c r="B62" s="119"/>
      <c r="C62" s="119"/>
      <c r="D62" s="119"/>
      <c r="E62" s="119"/>
      <c r="F62" s="119"/>
      <c r="G62" s="119"/>
      <c r="H62" s="273"/>
      <c r="I62" s="23"/>
      <c r="J62" s="23"/>
    </row>
    <row r="63" spans="1:10" ht="12.75">
      <c r="A63" s="238"/>
      <c r="B63" s="94" t="s">
        <v>65</v>
      </c>
      <c r="C63" s="94"/>
      <c r="D63" s="94"/>
      <c r="E63" s="94"/>
      <c r="F63" s="94"/>
      <c r="G63" s="94"/>
      <c r="H63" s="105"/>
      <c r="I63" s="23"/>
      <c r="J63" s="23"/>
    </row>
    <row r="64" spans="1:10" ht="12.75">
      <c r="A64" s="238">
        <v>38</v>
      </c>
      <c r="B64" s="94"/>
      <c r="C64" s="94"/>
      <c r="D64" s="108">
        <f>D18/($C23-D23)</f>
        <v>103.21515221959248</v>
      </c>
      <c r="E64" s="108">
        <f>E18/($C23-E23)</f>
        <v>105.83007458595472</v>
      </c>
      <c r="F64" s="109">
        <f>F18/($C23-F23)</f>
        <v>106.80758095450528</v>
      </c>
      <c r="G64" s="108">
        <f>G18/($C23-G23)</f>
        <v>106.08768258164073</v>
      </c>
      <c r="H64" s="107">
        <f>H18/($C23-H23)</f>
        <v>103.66923156837206</v>
      </c>
      <c r="I64" s="23"/>
      <c r="J64" s="23"/>
    </row>
    <row r="65" spans="1:10" ht="12.75">
      <c r="A65" s="238"/>
      <c r="B65" s="94" t="s">
        <v>64</v>
      </c>
      <c r="C65" s="94"/>
      <c r="D65" s="94"/>
      <c r="E65" s="94"/>
      <c r="F65" s="94"/>
      <c r="G65" s="94"/>
      <c r="H65" s="105"/>
      <c r="I65" s="23"/>
      <c r="J65" s="23"/>
    </row>
    <row r="66" spans="1:10" ht="12.75">
      <c r="A66" s="238">
        <v>39</v>
      </c>
      <c r="B66" s="99"/>
      <c r="C66" s="99"/>
      <c r="D66" s="295">
        <f>50000/(C23-D23)</f>
        <v>103.21515221959248</v>
      </c>
      <c r="E66" s="295">
        <f>50000/(D23-E23)</f>
        <v>108.58093737694773</v>
      </c>
      <c r="F66" s="296">
        <f>50000/(E23-F23)</f>
        <v>108.81778607466062</v>
      </c>
      <c r="G66" s="295">
        <f>50000/(F23-G23)</f>
        <v>103.98506004695628</v>
      </c>
      <c r="H66" s="294">
        <f>50000/(G23-H23)</f>
        <v>95.00593722342444</v>
      </c>
      <c r="I66" s="23"/>
      <c r="J66" s="23"/>
    </row>
    <row r="67" spans="1:10" ht="12.75">
      <c r="A67" s="238"/>
      <c r="B67" s="94"/>
      <c r="C67" s="94"/>
      <c r="D67" s="94"/>
      <c r="E67" s="94"/>
      <c r="F67" s="94"/>
      <c r="G67" s="94"/>
      <c r="H67" s="105"/>
      <c r="I67" s="23"/>
      <c r="J67" s="23"/>
    </row>
    <row r="68" spans="1:10" ht="12.75">
      <c r="A68" s="238"/>
      <c r="B68" s="293" t="s">
        <v>63</v>
      </c>
      <c r="C68" s="94"/>
      <c r="D68" s="94"/>
      <c r="E68" s="94"/>
      <c r="F68" s="94"/>
      <c r="G68" s="94"/>
      <c r="H68" s="105"/>
      <c r="I68" s="23"/>
      <c r="J68" s="23"/>
    </row>
    <row r="69" spans="1:10" ht="12.75">
      <c r="A69" s="238">
        <v>40</v>
      </c>
      <c r="B69" s="94" t="s">
        <v>62</v>
      </c>
      <c r="C69" s="125">
        <f>C31</f>
        <v>500000</v>
      </c>
      <c r="D69" s="125">
        <f>C69</f>
        <v>500000</v>
      </c>
      <c r="E69" s="125">
        <f>D69</f>
        <v>500000</v>
      </c>
      <c r="F69" s="125">
        <f>E69</f>
        <v>500000</v>
      </c>
      <c r="G69" s="125">
        <f>F69</f>
        <v>500000</v>
      </c>
      <c r="H69" s="237">
        <f>G69</f>
        <v>500000</v>
      </c>
      <c r="I69" s="23"/>
      <c r="J69" s="23"/>
    </row>
    <row r="70" spans="1:10" ht="12.75">
      <c r="A70" s="238">
        <v>41</v>
      </c>
      <c r="B70" s="94" t="s">
        <v>61</v>
      </c>
      <c r="C70" s="259">
        <f>C31</f>
        <v>500000</v>
      </c>
      <c r="D70" s="259">
        <f>D31</f>
        <v>516285.977804075</v>
      </c>
      <c r="E70" s="259">
        <f>E31</f>
        <v>532324.2541404528</v>
      </c>
      <c r="F70" s="259">
        <f>F31</f>
        <v>549111.6904549474</v>
      </c>
      <c r="G70" s="259">
        <f>G31</f>
        <v>564123.1741835929</v>
      </c>
      <c r="H70" s="258">
        <f>H31</f>
        <v>572682.6843162794</v>
      </c>
      <c r="I70" s="23"/>
      <c r="J70" s="23"/>
    </row>
    <row r="71" spans="1:10" ht="12.75">
      <c r="A71" s="238">
        <v>42</v>
      </c>
      <c r="B71" s="94" t="s">
        <v>60</v>
      </c>
      <c r="C71" s="125">
        <f>C70-C69</f>
        <v>0</v>
      </c>
      <c r="D71" s="125">
        <f>D70-D69</f>
        <v>16285.977804074995</v>
      </c>
      <c r="E71" s="125">
        <f>E70-E69</f>
        <v>32324.25414045283</v>
      </c>
      <c r="F71" s="125">
        <f>F70-F69</f>
        <v>49111.69045494741</v>
      </c>
      <c r="G71" s="125">
        <f>G70-G69</f>
        <v>64123.1741835929</v>
      </c>
      <c r="H71" s="237">
        <f>H70-H69</f>
        <v>72682.68431627937</v>
      </c>
      <c r="I71" s="23"/>
      <c r="J71" s="23"/>
    </row>
    <row r="72" spans="1:10" ht="12.75">
      <c r="A72" s="238">
        <v>43</v>
      </c>
      <c r="B72" s="94" t="s">
        <v>59</v>
      </c>
      <c r="C72" s="94">
        <v>0</v>
      </c>
      <c r="D72" s="125">
        <f>$C8-D8</f>
        <v>2062.5</v>
      </c>
      <c r="E72" s="125">
        <f>$C8-E8</f>
        <v>4375</v>
      </c>
      <c r="F72" s="125">
        <f>$C8-F8</f>
        <v>7312.5</v>
      </c>
      <c r="G72" s="125">
        <f>$C8-G8</f>
        <v>11000</v>
      </c>
      <c r="H72" s="237">
        <f>$C8-H8</f>
        <v>15625</v>
      </c>
      <c r="I72" s="23"/>
      <c r="J72" s="23"/>
    </row>
    <row r="73" spans="1:10" ht="12.75">
      <c r="A73" s="238">
        <v>44</v>
      </c>
      <c r="B73" s="99" t="s">
        <v>58</v>
      </c>
      <c r="C73" s="99"/>
      <c r="D73" s="97">
        <f>D72/D71</f>
        <v>0.12664268764285874</v>
      </c>
      <c r="E73" s="97">
        <f>E72/E71</f>
        <v>0.13534728383801498</v>
      </c>
      <c r="F73" s="97">
        <f>F72/F71</f>
        <v>0.14889530236610607</v>
      </c>
      <c r="G73" s="97">
        <f>G72/G71</f>
        <v>0.17154484537065467</v>
      </c>
      <c r="H73" s="292">
        <f>H72/H71</f>
        <v>0.21497554949962594</v>
      </c>
      <c r="I73" s="23"/>
      <c r="J73" s="23"/>
    </row>
    <row r="74" spans="1:10" ht="12.75">
      <c r="A74" s="238"/>
      <c r="B74" s="94"/>
      <c r="C74" s="94"/>
      <c r="D74" s="94"/>
      <c r="E74" s="94"/>
      <c r="F74" s="94"/>
      <c r="G74" s="94"/>
      <c r="H74" s="105"/>
      <c r="I74" s="23"/>
      <c r="J74" s="23"/>
    </row>
    <row r="75" spans="1:10" ht="12.75">
      <c r="A75" s="238">
        <v>45</v>
      </c>
      <c r="B75" s="126" t="s">
        <v>57</v>
      </c>
      <c r="C75" s="94"/>
      <c r="D75" s="94"/>
      <c r="E75" s="94"/>
      <c r="F75" s="94"/>
      <c r="G75" s="94"/>
      <c r="H75" s="105"/>
      <c r="I75" s="23"/>
      <c r="J75" s="23"/>
    </row>
    <row r="76" spans="1:10" ht="12.75">
      <c r="A76" s="238"/>
      <c r="B76" s="126" t="s">
        <v>56</v>
      </c>
      <c r="C76" s="94"/>
      <c r="D76" s="94"/>
      <c r="E76" s="94"/>
      <c r="F76" s="94"/>
      <c r="G76" s="94"/>
      <c r="H76" s="105"/>
      <c r="I76" s="23"/>
      <c r="J76" s="23"/>
    </row>
    <row r="77" spans="1:10" ht="12.75">
      <c r="A77" s="238">
        <v>46</v>
      </c>
      <c r="B77" s="98"/>
      <c r="C77" s="97">
        <f>(C14*C16+C12*C15*0.5)/(C16+C15*0.5)</f>
        <v>0.12</v>
      </c>
      <c r="D77" s="97">
        <f>(D14*D16+D12*D15*0.5)/(D16+D15*0.5)</f>
        <v>0.12217224890333658</v>
      </c>
      <c r="E77" s="97">
        <f>(E14*E16+E12*E15*0.5)/(E16+E15*0.5)</f>
        <v>0.1250971281191691</v>
      </c>
      <c r="F77" s="97">
        <f>(F14*F16+F12*F15*0.5)/(F16+F15*0.5)</f>
        <v>0.13017172672557972</v>
      </c>
      <c r="G77" s="97">
        <f>(G14*G16+G12*G15*0.5)/(G16+G15*0.5)</f>
        <v>0.1382859777630924</v>
      </c>
      <c r="H77" s="292">
        <f>(H14*H16+H12*H15*0.5)/(H16+H15*0.5)</f>
        <v>0.1507582849167752</v>
      </c>
      <c r="I77" s="23"/>
      <c r="J77" s="23"/>
    </row>
    <row r="78" spans="1:10" ht="12.75">
      <c r="A78" s="238"/>
      <c r="B78" s="119"/>
      <c r="C78" s="119"/>
      <c r="D78" s="119"/>
      <c r="E78" s="119"/>
      <c r="F78" s="119"/>
      <c r="G78" s="119"/>
      <c r="H78" s="273"/>
      <c r="I78" s="23"/>
      <c r="J78" s="23"/>
    </row>
    <row r="79" spans="1:10" ht="13.5" thickBot="1">
      <c r="A79" s="238"/>
      <c r="B79" s="88" t="s">
        <v>55</v>
      </c>
      <c r="C79" s="93"/>
      <c r="D79" s="93">
        <f>D41-C41</f>
        <v>0.0021545946344787154</v>
      </c>
      <c r="E79" s="93">
        <f>E41-D41</f>
        <v>0.002653691118895782</v>
      </c>
      <c r="F79" s="93">
        <f>F41-E41</f>
        <v>0.003788458663309957</v>
      </c>
      <c r="G79" s="96">
        <f>G41-F41</f>
        <v>0.00554717784820713</v>
      </c>
      <c r="H79" s="291">
        <f>H41-G41</f>
        <v>0.008538461483175247</v>
      </c>
      <c r="I79" s="23"/>
      <c r="J79" s="23"/>
    </row>
    <row r="80" spans="1:10" ht="12.75">
      <c r="A80" s="238"/>
      <c r="B80" s="94"/>
      <c r="C80" s="93"/>
      <c r="D80" s="93"/>
      <c r="E80" s="93"/>
      <c r="F80" s="93"/>
      <c r="G80" s="93"/>
      <c r="H80" s="290"/>
      <c r="I80" s="23"/>
      <c r="J80" s="23"/>
    </row>
    <row r="81" spans="1:10" ht="12.75">
      <c r="A81" s="238"/>
      <c r="B81" s="126" t="s">
        <v>54</v>
      </c>
      <c r="C81" s="94"/>
      <c r="D81" s="94"/>
      <c r="E81" s="94"/>
      <c r="F81" s="94"/>
      <c r="G81" s="94"/>
      <c r="H81" s="105"/>
      <c r="I81" s="23"/>
      <c r="J81" s="23"/>
    </row>
    <row r="82" spans="1:10" ht="12.75">
      <c r="A82" s="238">
        <v>47</v>
      </c>
      <c r="B82" s="94" t="s">
        <v>53</v>
      </c>
      <c r="C82" s="125">
        <f>C8</f>
        <v>60000</v>
      </c>
      <c r="D82" s="125">
        <f>D8</f>
        <v>57937.5</v>
      </c>
      <c r="E82" s="125">
        <f>E8</f>
        <v>55625</v>
      </c>
      <c r="F82" s="125">
        <f>F8</f>
        <v>52687.5</v>
      </c>
      <c r="G82" s="125">
        <f>G8</f>
        <v>49000</v>
      </c>
      <c r="H82" s="237">
        <f>H8</f>
        <v>44375</v>
      </c>
      <c r="I82" s="23"/>
      <c r="J82" s="23"/>
    </row>
    <row r="83" spans="1:10" ht="12.75">
      <c r="A83" s="238">
        <v>48</v>
      </c>
      <c r="B83" s="94" t="s">
        <v>52</v>
      </c>
      <c r="C83" s="125">
        <f>C6</f>
        <v>0</v>
      </c>
      <c r="D83" s="125">
        <f>D6</f>
        <v>4125</v>
      </c>
      <c r="E83" s="125">
        <f>E6</f>
        <v>8750</v>
      </c>
      <c r="F83" s="125">
        <f>F6</f>
        <v>14625</v>
      </c>
      <c r="G83" s="125">
        <f>G6</f>
        <v>22000</v>
      </c>
      <c r="H83" s="237">
        <f>H6</f>
        <v>31250</v>
      </c>
      <c r="I83" s="23"/>
      <c r="J83" s="23"/>
    </row>
    <row r="84" spans="1:10" ht="12.75">
      <c r="A84" s="238">
        <v>49</v>
      </c>
      <c r="B84" s="94" t="s">
        <v>51</v>
      </c>
      <c r="C84" s="259">
        <f>C10</f>
        <v>60000</v>
      </c>
      <c r="D84" s="259">
        <f>D10</f>
        <v>57937.5</v>
      </c>
      <c r="E84" s="259">
        <f>E10</f>
        <v>55625</v>
      </c>
      <c r="F84" s="259">
        <f>F10</f>
        <v>52687.5</v>
      </c>
      <c r="G84" s="259">
        <f>G10</f>
        <v>49000</v>
      </c>
      <c r="H84" s="258">
        <f>H10</f>
        <v>44375</v>
      </c>
      <c r="I84" s="23"/>
      <c r="J84" s="23"/>
    </row>
    <row r="85" spans="1:10" ht="13.5" thickBot="1">
      <c r="A85" s="247">
        <v>50</v>
      </c>
      <c r="B85" s="88" t="s">
        <v>50</v>
      </c>
      <c r="C85" s="87">
        <f>SUM(C82:C84)</f>
        <v>120000</v>
      </c>
      <c r="D85" s="87">
        <f>SUM(D82:D84)</f>
        <v>120000</v>
      </c>
      <c r="E85" s="87">
        <f>SUM(E82:E84)</f>
        <v>120000</v>
      </c>
      <c r="F85" s="87">
        <f>SUM(F82:F84)</f>
        <v>120000</v>
      </c>
      <c r="G85" s="87">
        <f>SUM(G82:G84)</f>
        <v>120000</v>
      </c>
      <c r="H85" s="246">
        <f>SUM(H82:H84)</f>
        <v>120000</v>
      </c>
      <c r="I85" s="23"/>
      <c r="J85" s="23"/>
    </row>
    <row r="86" spans="1:10" ht="12.75">
      <c r="A86" s="238"/>
      <c r="B86" s="119"/>
      <c r="C86" s="119"/>
      <c r="D86" s="119"/>
      <c r="E86" s="119"/>
      <c r="F86" s="119"/>
      <c r="G86" s="119"/>
      <c r="H86" s="273"/>
      <c r="I86" s="23"/>
      <c r="J86" s="23"/>
    </row>
    <row r="87" spans="1:10" ht="12.75">
      <c r="A87" s="244"/>
      <c r="B87" s="224" t="s">
        <v>36</v>
      </c>
      <c r="C87" s="224">
        <v>0</v>
      </c>
      <c r="D87" s="223">
        <f>C87+50000</f>
        <v>50000</v>
      </c>
      <c r="E87" s="223">
        <f>D87+50000</f>
        <v>100000</v>
      </c>
      <c r="F87" s="223">
        <f>E87+50000</f>
        <v>150000</v>
      </c>
      <c r="G87" s="223">
        <f>F87+50000</f>
        <v>200000</v>
      </c>
      <c r="H87" s="243">
        <f>G87+50000</f>
        <v>250000</v>
      </c>
      <c r="I87" s="45"/>
      <c r="J87" s="45"/>
    </row>
    <row r="88" spans="1:10" ht="13.5">
      <c r="A88" s="278">
        <v>10</v>
      </c>
      <c r="B88" s="277" t="s">
        <v>48</v>
      </c>
      <c r="C88" s="84">
        <f>C14</f>
        <v>0.12</v>
      </c>
      <c r="D88" s="84">
        <f>D14</f>
        <v>0.12430918926895741</v>
      </c>
      <c r="E88" s="84">
        <f>E14</f>
        <v>0.129616571506749</v>
      </c>
      <c r="F88" s="84">
        <f>F14</f>
        <v>0.13719348883336893</v>
      </c>
      <c r="G88" s="84">
        <f>G14</f>
        <v>0.1482878445297832</v>
      </c>
      <c r="H88" s="83">
        <f>H14</f>
        <v>0.1653647674961336</v>
      </c>
      <c r="I88" s="32"/>
      <c r="J88" s="32"/>
    </row>
    <row r="89" spans="1:10" ht="13.5">
      <c r="A89" s="242"/>
      <c r="B89" s="289" t="s">
        <v>47</v>
      </c>
      <c r="C89" s="81"/>
      <c r="D89" s="81"/>
      <c r="E89" s="81"/>
      <c r="F89" s="81"/>
      <c r="G89" s="81"/>
      <c r="H89" s="288"/>
      <c r="I89" s="32"/>
      <c r="J89" s="32"/>
    </row>
    <row r="90" spans="1:10" ht="13.5">
      <c r="A90" s="241">
        <v>41</v>
      </c>
      <c r="B90" s="70" t="s">
        <v>46</v>
      </c>
      <c r="C90" s="77">
        <f>C84-D84</f>
        <v>2062.5</v>
      </c>
      <c r="D90" s="77">
        <f>D84-E84</f>
        <v>2312.5</v>
      </c>
      <c r="E90" s="77">
        <f>E84-F84</f>
        <v>2937.5</v>
      </c>
      <c r="F90" s="77">
        <f>F84-G84</f>
        <v>3687.5</v>
      </c>
      <c r="G90" s="77">
        <f>G84-H84</f>
        <v>4625</v>
      </c>
      <c r="H90" s="75"/>
      <c r="I90" s="32"/>
      <c r="J90" s="32"/>
    </row>
    <row r="91" spans="1:10" ht="13.5">
      <c r="A91" s="241">
        <v>42</v>
      </c>
      <c r="B91" s="70" t="s">
        <v>45</v>
      </c>
      <c r="C91" s="69">
        <f>C90/(C84/C88-D84/D88)</f>
        <v>0.06079723721896457</v>
      </c>
      <c r="D91" s="69">
        <f>D90/(D84/D88-E84/E88)</f>
        <v>0.06262628816431004</v>
      </c>
      <c r="E91" s="69">
        <f>E90/(E84/E88-F84/F88)</f>
        <v>0.06511503626360768</v>
      </c>
      <c r="F91" s="69">
        <f>F90/(F84/F88-G84/G88)</f>
        <v>0.06879729399924582</v>
      </c>
      <c r="G91" s="69">
        <f>G90/(G84/G88-H84/H88)</f>
        <v>0.0744859402361592</v>
      </c>
      <c r="H91" s="75"/>
      <c r="I91" s="32"/>
      <c r="J91" s="32"/>
    </row>
    <row r="92" spans="1:10" ht="13.5">
      <c r="A92" s="241"/>
      <c r="B92" s="70"/>
      <c r="C92" s="69"/>
      <c r="D92" s="69"/>
      <c r="E92" s="69"/>
      <c r="F92" s="69"/>
      <c r="G92" s="69"/>
      <c r="H92" s="75"/>
      <c r="I92" s="32"/>
      <c r="J92" s="32"/>
    </row>
    <row r="93" spans="1:10" ht="13.5">
      <c r="A93" s="278"/>
      <c r="B93" s="287" t="s">
        <v>0</v>
      </c>
      <c r="C93" s="286">
        <v>0</v>
      </c>
      <c r="D93" s="286">
        <v>0.1</v>
      </c>
      <c r="E93" s="286">
        <v>0.2</v>
      </c>
      <c r="F93" s="286">
        <v>0.3</v>
      </c>
      <c r="G93" s="286">
        <v>0.4</v>
      </c>
      <c r="H93" s="285">
        <v>0.5</v>
      </c>
      <c r="I93" s="32"/>
      <c r="J93" s="32"/>
    </row>
    <row r="94" spans="1:10" ht="13.5">
      <c r="A94" s="242">
        <v>43</v>
      </c>
      <c r="B94" s="81" t="s">
        <v>35</v>
      </c>
      <c r="C94" s="284">
        <f>C14-C13</f>
        <v>0.039999999999999994</v>
      </c>
      <c r="D94" s="284">
        <f>D14-D13</f>
        <v>0.04215459463447871</v>
      </c>
      <c r="E94" s="284">
        <f>E14-E13</f>
        <v>0.04480828575337449</v>
      </c>
      <c r="F94" s="284">
        <f>F14-F13</f>
        <v>0.04859674441668446</v>
      </c>
      <c r="G94" s="284">
        <f>G14-G13</f>
        <v>0.05414392226489159</v>
      </c>
      <c r="H94" s="283">
        <f>H14-H13</f>
        <v>0.06268238374806678</v>
      </c>
      <c r="I94" s="32"/>
      <c r="J94" s="32"/>
    </row>
    <row r="95" spans="1:10" ht="13.5">
      <c r="A95" s="282">
        <v>44</v>
      </c>
      <c r="B95" s="281" t="s">
        <v>34</v>
      </c>
      <c r="C95" s="280">
        <f>C14-C13*0.5</f>
        <v>0.07999999999999999</v>
      </c>
      <c r="D95" s="280">
        <f>D14-D13*0.5</f>
        <v>0.08323189195171807</v>
      </c>
      <c r="E95" s="280">
        <f>E14-E13*0.5</f>
        <v>0.08721242863006173</v>
      </c>
      <c r="F95" s="280">
        <f>F14-F13*0.5</f>
        <v>0.0928951166250267</v>
      </c>
      <c r="G95" s="280">
        <f>G14-G13*0.5</f>
        <v>0.10121588339733739</v>
      </c>
      <c r="H95" s="279">
        <f>H14-H13*0.5</f>
        <v>0.11402357562210019</v>
      </c>
      <c r="I95" s="32"/>
      <c r="J95" s="32"/>
    </row>
    <row r="96" spans="1:10" ht="13.5">
      <c r="A96" s="278">
        <v>45</v>
      </c>
      <c r="B96" s="277" t="s">
        <v>117</v>
      </c>
      <c r="C96" s="277">
        <f>C66</f>
        <v>0</v>
      </c>
      <c r="D96" s="275">
        <f>D66</f>
        <v>103.21515221959248</v>
      </c>
      <c r="E96" s="275">
        <f>E66</f>
        <v>108.58093737694773</v>
      </c>
      <c r="F96" s="276">
        <f>F66</f>
        <v>108.81778607466062</v>
      </c>
      <c r="G96" s="275">
        <f>G66</f>
        <v>103.98506004695628</v>
      </c>
      <c r="H96" s="274">
        <f>H66</f>
        <v>95.00593722342444</v>
      </c>
      <c r="I96" s="23"/>
      <c r="J96" s="23"/>
    </row>
    <row r="97" spans="1:10" ht="12.75">
      <c r="A97" s="238"/>
      <c r="B97" s="119"/>
      <c r="C97" s="119"/>
      <c r="D97" s="119"/>
      <c r="E97" s="119"/>
      <c r="F97" s="119"/>
      <c r="G97" s="119"/>
      <c r="H97" s="273"/>
      <c r="I97" s="23"/>
      <c r="J97" s="23"/>
    </row>
    <row r="98" spans="1:10" ht="12.75">
      <c r="A98" s="272">
        <v>46</v>
      </c>
      <c r="B98" s="222" t="s">
        <v>43</v>
      </c>
      <c r="C98" s="271">
        <v>0</v>
      </c>
      <c r="D98" s="271">
        <f>(D6-D100*D15)/(D6+D15)</f>
        <v>0.00013361735485450122</v>
      </c>
      <c r="E98" s="271">
        <f>(E6-E100*E15)/(E6+E15)</f>
        <v>0.0005976039839373828</v>
      </c>
      <c r="F98" s="271">
        <f>(F6-F100*F15)/(F6+F15)</f>
        <v>0.0017056310577884337</v>
      </c>
      <c r="G98" s="271">
        <f>(G6-G100*G15)/(G6+G15)</f>
        <v>0.003970156189232967</v>
      </c>
      <c r="H98" s="270">
        <f>(H6-H100*H15)/(H6+H15)</f>
        <v>0.00842707191574204</v>
      </c>
      <c r="I98" s="23"/>
      <c r="J98" s="23"/>
    </row>
    <row r="99" spans="1:10" ht="13.5" thickBot="1">
      <c r="A99" s="247">
        <v>47</v>
      </c>
      <c r="B99" s="88" t="s">
        <v>42</v>
      </c>
      <c r="C99" s="269">
        <f>(C10-C16*C101)/(C10+C16)</f>
        <v>0</v>
      </c>
      <c r="D99" s="269">
        <f>(D10-D16*D101)/(D10+D16)</f>
        <v>0.0020449795224500335</v>
      </c>
      <c r="E99" s="269">
        <f>(E10-E16*E101)/(E10+E16)</f>
        <v>0.004830463401816685</v>
      </c>
      <c r="F99" s="269">
        <f>(F10-F16*F101)/(F10+F16)</f>
        <v>0.009192357269028206</v>
      </c>
      <c r="G99" s="269">
        <f>(G10-G16*G101)/(G10+G16)</f>
        <v>0.01610035725611454</v>
      </c>
      <c r="H99" s="268">
        <f>(H10-H16*H101)/(H10+H16)</f>
        <v>0.027437561515467508</v>
      </c>
      <c r="I99" s="23"/>
      <c r="J99" s="23"/>
    </row>
    <row r="100" spans="1:10" ht="12.75">
      <c r="A100" s="177"/>
      <c r="B100" s="176" t="s">
        <v>102</v>
      </c>
      <c r="C100" s="175">
        <v>0.08</v>
      </c>
      <c r="D100" s="175">
        <v>0.08201</v>
      </c>
      <c r="E100" s="175">
        <v>0.08416</v>
      </c>
      <c r="F100" s="175">
        <v>0.08674</v>
      </c>
      <c r="G100" s="175">
        <v>0.0898</v>
      </c>
      <c r="H100" s="175">
        <v>0.09339</v>
      </c>
      <c r="I100" s="174"/>
      <c r="J100" s="174"/>
    </row>
    <row r="101" spans="1:10" ht="12.75">
      <c r="A101" s="177"/>
      <c r="B101" s="176" t="s">
        <v>101</v>
      </c>
      <c r="C101" s="175">
        <v>0.12</v>
      </c>
      <c r="D101" s="175">
        <f>C101+D100-C100</f>
        <v>0.12201</v>
      </c>
      <c r="E101" s="175">
        <f>D101+E100-D100</f>
        <v>0.12415999999999999</v>
      </c>
      <c r="F101" s="175">
        <f>E101+F100-E100</f>
        <v>0.12673999999999996</v>
      </c>
      <c r="G101" s="175">
        <f>F101+G100-F100</f>
        <v>0.12979999999999997</v>
      </c>
      <c r="H101" s="175">
        <f>G101+H100-G100</f>
        <v>0.13338999999999995</v>
      </c>
      <c r="I101" s="174"/>
      <c r="J101" s="174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4" t="s">
        <v>39</v>
      </c>
      <c r="D130" s="172">
        <f>D12-C12</f>
        <v>0.0025000000000000022</v>
      </c>
      <c r="E130" s="172">
        <f>E12-D12</f>
        <v>0.0049999999999999906</v>
      </c>
      <c r="F130" s="172">
        <f>F12-E12</f>
        <v>0.010000000000000009</v>
      </c>
      <c r="G130" s="172">
        <f>G12-F12</f>
        <v>0.012499999999999997</v>
      </c>
      <c r="H130" s="172">
        <f>H12-G12</f>
        <v>0.015</v>
      </c>
    </row>
    <row r="131" spans="2:8" ht="12.75">
      <c r="B131" s="14" t="s">
        <v>38</v>
      </c>
      <c r="D131" s="172">
        <f>D14-C14</f>
        <v>0.004309189268957417</v>
      </c>
      <c r="E131" s="172">
        <f>E14-D14</f>
        <v>0.0053073822377915775</v>
      </c>
      <c r="F131" s="172">
        <f>F14-E14</f>
        <v>0.007576917326619942</v>
      </c>
      <c r="G131" s="172">
        <f>G14-F14</f>
        <v>0.01109435569641426</v>
      </c>
      <c r="H131" s="172">
        <f>H14-G14</f>
        <v>0.01707692296635041</v>
      </c>
    </row>
    <row r="132" spans="2:8" ht="12.75">
      <c r="B132" s="167" t="s">
        <v>35</v>
      </c>
      <c r="C132" s="172">
        <f>C14-C12</f>
        <v>0.039999999999999994</v>
      </c>
      <c r="D132" s="172">
        <f>D14-D12</f>
        <v>0.04180918926895741</v>
      </c>
      <c r="E132" s="172">
        <f>E14-E12</f>
        <v>0.042116571506748995</v>
      </c>
      <c r="F132" s="172">
        <f>F14-F12</f>
        <v>0.03969348883336893</v>
      </c>
      <c r="G132" s="172">
        <f>G14-G12</f>
        <v>0.03828784452978319</v>
      </c>
      <c r="H132" s="172">
        <f>H14-H12</f>
        <v>0.0403647674961336</v>
      </c>
    </row>
    <row r="133" spans="1:10" ht="13.5" thickBot="1">
      <c r="A133" s="15"/>
      <c r="B133" s="171" t="s">
        <v>34</v>
      </c>
      <c r="C133" s="170">
        <f>C14-C12*0.5</f>
        <v>0.07999999999999999</v>
      </c>
      <c r="D133" s="170">
        <f>D14-D12*0.5</f>
        <v>0.08305918926895742</v>
      </c>
      <c r="E133" s="170">
        <f>E14-E12*0.5</f>
        <v>0.08586657150674899</v>
      </c>
      <c r="F133" s="170">
        <f>F14-F12*0.5</f>
        <v>0.08844348883336893</v>
      </c>
      <c r="G133" s="170">
        <f>G14-G12*0.5</f>
        <v>0.0932878445297832</v>
      </c>
      <c r="H133" s="170">
        <f>H14-H12*0.5</f>
        <v>0.1028647674961336</v>
      </c>
      <c r="I133" s="169"/>
      <c r="J133" s="169"/>
    </row>
    <row r="134" spans="2:8" ht="12.75">
      <c r="B134" s="167" t="s">
        <v>100</v>
      </c>
      <c r="C134" s="166"/>
      <c r="D134" s="166"/>
      <c r="E134" s="166"/>
      <c r="F134" s="166"/>
      <c r="G134" s="166"/>
      <c r="H134" s="166"/>
    </row>
    <row r="135" spans="2:8" ht="12.75">
      <c r="B135" s="167" t="s">
        <v>99</v>
      </c>
      <c r="C135" s="166"/>
      <c r="D135" s="166">
        <f>D14-D12*0.5</f>
        <v>0.08305918926895742</v>
      </c>
      <c r="E135" s="166">
        <f>E14-E12*0.5</f>
        <v>0.08586657150674899</v>
      </c>
      <c r="F135" s="166">
        <f>F14-F12*0.5</f>
        <v>0.08844348883336893</v>
      </c>
      <c r="G135" s="168">
        <f>G14-G12*0.5</f>
        <v>0.0932878445297832</v>
      </c>
      <c r="H135" s="168">
        <f>H14-H12*0.5</f>
        <v>0.1028647674961336</v>
      </c>
    </row>
    <row r="136" spans="2:8" ht="12.75">
      <c r="B136" s="167" t="s">
        <v>98</v>
      </c>
      <c r="C136" s="166"/>
      <c r="D136" s="166">
        <f>(C16*(D14-C14)+C15*0.5*(D12-C12))/50000</f>
        <v>0.04309189268957417</v>
      </c>
      <c r="E136" s="166">
        <f>(D16*(E14-D14)+D15*0.5*(E12-D12))/50000</f>
        <v>0.05198335515363596</v>
      </c>
      <c r="F136" s="166">
        <f>(E16*(F14-E14)+E15*0.5*(F12-E12))/50000</f>
        <v>0.07535012604860816</v>
      </c>
      <c r="G136" s="168">
        <f>(F16*(G14-F14)+F15*0.5*(G12-F12))/50000</f>
        <v>0.10584728553934412</v>
      </c>
      <c r="H136" s="168">
        <f>(G16*(H14-G14)+G15*0.5*(H12-G12))/50000</f>
        <v>0.14791014063843802</v>
      </c>
    </row>
    <row r="137" spans="2:8" ht="12.75">
      <c r="B137" s="167"/>
      <c r="C137" s="166"/>
      <c r="D137" s="166"/>
      <c r="E137" s="166"/>
      <c r="F137" s="166"/>
      <c r="G137" s="166"/>
      <c r="H137" s="166"/>
    </row>
    <row r="139" ht="12.75">
      <c r="B139" s="165" t="s">
        <v>97</v>
      </c>
    </row>
    <row r="140" spans="1:8" ht="12.75">
      <c r="A140" s="14">
        <v>9</v>
      </c>
      <c r="B140" s="1" t="s">
        <v>9</v>
      </c>
      <c r="C140" s="5">
        <v>0.08</v>
      </c>
      <c r="D140" s="5">
        <v>0.0825</v>
      </c>
      <c r="E140" s="5">
        <v>0.0875</v>
      </c>
      <c r="F140" s="5">
        <v>0.0975</v>
      </c>
      <c r="G140" s="5">
        <v>0.11</v>
      </c>
      <c r="H140" s="5">
        <v>0.125</v>
      </c>
    </row>
    <row r="141" spans="1:8" ht="12.75">
      <c r="A141" s="14">
        <v>10</v>
      </c>
      <c r="B141" s="1" t="s">
        <v>10</v>
      </c>
      <c r="C141" s="5">
        <v>0.12</v>
      </c>
      <c r="D141" s="5">
        <v>0.125</v>
      </c>
      <c r="E141" s="5">
        <v>0.1325</v>
      </c>
      <c r="F141" s="5">
        <v>0.145</v>
      </c>
      <c r="G141" s="5">
        <v>0.16</v>
      </c>
      <c r="H141" s="5">
        <v>0.18</v>
      </c>
    </row>
    <row r="143" spans="7:8" ht="12.75">
      <c r="G143" s="164"/>
      <c r="H143" s="164"/>
    </row>
    <row r="144" spans="4:9" ht="12.75">
      <c r="D144" s="164" t="s">
        <v>96</v>
      </c>
      <c r="E144" s="164"/>
      <c r="F144" s="164"/>
      <c r="G144" s="164" t="s">
        <v>95</v>
      </c>
      <c r="H144" s="164"/>
      <c r="I144" s="164"/>
    </row>
    <row r="145" spans="4:9" ht="12.75">
      <c r="D145" t="s">
        <v>94</v>
      </c>
      <c r="E145" t="s">
        <v>93</v>
      </c>
      <c r="F145" t="s">
        <v>92</v>
      </c>
      <c r="G145" t="s">
        <v>94</v>
      </c>
      <c r="H145" t="s">
        <v>93</v>
      </c>
      <c r="I145" t="s">
        <v>92</v>
      </c>
    </row>
    <row r="146" spans="2:10" ht="12.75">
      <c r="B146">
        <v>0</v>
      </c>
      <c r="C146" t="s">
        <v>91</v>
      </c>
      <c r="J146" t="s">
        <v>90</v>
      </c>
    </row>
    <row r="147" spans="2:10" ht="12.75">
      <c r="B147">
        <f>B146+1</f>
        <v>1</v>
      </c>
      <c r="C147">
        <v>0.06</v>
      </c>
      <c r="D147">
        <v>110</v>
      </c>
      <c r="E147">
        <v>0.1</v>
      </c>
      <c r="F147">
        <f>D147/E147</f>
        <v>1100</v>
      </c>
      <c r="G147">
        <v>200</v>
      </c>
      <c r="H147">
        <v>0.17</v>
      </c>
      <c r="I147">
        <f>G147/H147</f>
        <v>1176.4705882352941</v>
      </c>
      <c r="J147">
        <f>(I147+F147)/2</f>
        <v>1138.235294117647</v>
      </c>
    </row>
    <row r="148" spans="2:10" ht="12.75">
      <c r="B148">
        <f>B147+1</f>
        <v>2</v>
      </c>
      <c r="C148">
        <v>0.06</v>
      </c>
      <c r="D148">
        <v>120</v>
      </c>
      <c r="E148">
        <v>0.1</v>
      </c>
      <c r="F148">
        <f>D148/E148</f>
        <v>1200</v>
      </c>
      <c r="G148">
        <v>200</v>
      </c>
      <c r="H148">
        <v>0.17</v>
      </c>
      <c r="I148">
        <f>G148/H148</f>
        <v>1176.4705882352941</v>
      </c>
      <c r="J148">
        <f>(I148+F148)/2</f>
        <v>1188.235294117647</v>
      </c>
    </row>
    <row r="149" spans="2:10" ht="12.75">
      <c r="B149">
        <f>B148+1</f>
        <v>3</v>
      </c>
      <c r="C149">
        <v>0.06</v>
      </c>
      <c r="D149">
        <v>110</v>
      </c>
      <c r="E149">
        <v>0.1</v>
      </c>
      <c r="F149">
        <f>D149/E149</f>
        <v>1100</v>
      </c>
      <c r="G149">
        <v>200</v>
      </c>
      <c r="H149">
        <v>0.17</v>
      </c>
      <c r="I149">
        <f>G149/H149</f>
        <v>1176.4705882352941</v>
      </c>
      <c r="J149">
        <f>(I149+F149)/2</f>
        <v>1138.235294117647</v>
      </c>
    </row>
    <row r="150" spans="2:10" ht="12.75">
      <c r="B150">
        <f>B149+1</f>
        <v>4</v>
      </c>
      <c r="C150">
        <v>0.06</v>
      </c>
      <c r="D150">
        <v>120</v>
      </c>
      <c r="E150">
        <v>0.1</v>
      </c>
      <c r="F150">
        <f>D150/E150</f>
        <v>1200</v>
      </c>
      <c r="G150">
        <v>200</v>
      </c>
      <c r="H150">
        <v>0.17</v>
      </c>
      <c r="I150">
        <f>G150/H150</f>
        <v>1176.4705882352941</v>
      </c>
      <c r="J150">
        <f>(I150+F150)/2</f>
        <v>1188.235294117647</v>
      </c>
    </row>
    <row r="151" spans="2:10" ht="12.75">
      <c r="B151">
        <f>B150+1</f>
        <v>5</v>
      </c>
      <c r="C151">
        <v>0.06</v>
      </c>
      <c r="D151">
        <v>110</v>
      </c>
      <c r="E151">
        <v>0.1</v>
      </c>
      <c r="F151">
        <f>D151/E151</f>
        <v>1100</v>
      </c>
      <c r="G151">
        <v>200</v>
      </c>
      <c r="H151">
        <v>0.17</v>
      </c>
      <c r="I151">
        <f>G151/H151</f>
        <v>1176.4705882352941</v>
      </c>
      <c r="J151">
        <f>(I151+F151)/2</f>
        <v>1138.235294117647</v>
      </c>
    </row>
    <row r="152" spans="2:10" ht="12.75">
      <c r="B152">
        <f>B151+1</f>
        <v>6</v>
      </c>
      <c r="C152">
        <v>0.06</v>
      </c>
      <c r="D152">
        <v>120</v>
      </c>
      <c r="E152">
        <v>0.1</v>
      </c>
      <c r="F152">
        <f>D152/E152</f>
        <v>1200</v>
      </c>
      <c r="G152">
        <v>200</v>
      </c>
      <c r="H152">
        <v>0.17</v>
      </c>
      <c r="I152">
        <f>G152/H152</f>
        <v>1176.4705882352941</v>
      </c>
      <c r="J152">
        <f>(I152+F152)/2</f>
        <v>1188.235294117647</v>
      </c>
    </row>
    <row r="153" spans="2:10" ht="12.75">
      <c r="B153">
        <f>B152+1</f>
        <v>7</v>
      </c>
      <c r="C153">
        <v>0.06</v>
      </c>
      <c r="D153">
        <v>110</v>
      </c>
      <c r="E153">
        <v>0.1</v>
      </c>
      <c r="F153">
        <f>D153/E153</f>
        <v>1100</v>
      </c>
      <c r="G153">
        <v>200</v>
      </c>
      <c r="H153">
        <v>0.17</v>
      </c>
      <c r="I153">
        <f>G153/H153</f>
        <v>1176.4705882352941</v>
      </c>
      <c r="J153">
        <f>(I153+F153)/2</f>
        <v>1138.235294117647</v>
      </c>
    </row>
    <row r="154" spans="2:10" ht="12.75">
      <c r="B154">
        <f>B153+1</f>
        <v>8</v>
      </c>
      <c r="C154">
        <v>0.06</v>
      </c>
      <c r="D154">
        <v>120</v>
      </c>
      <c r="E154">
        <v>0.1</v>
      </c>
      <c r="F154">
        <f>D154/E154</f>
        <v>1200</v>
      </c>
      <c r="G154">
        <v>200</v>
      </c>
      <c r="H154">
        <v>0.17</v>
      </c>
      <c r="I154">
        <f>G154/H154</f>
        <v>1176.4705882352941</v>
      </c>
      <c r="J154">
        <f>(I154+F154)/2</f>
        <v>1188.235294117647</v>
      </c>
    </row>
    <row r="155" spans="2:10" ht="12.75">
      <c r="B155">
        <f>B154+1</f>
        <v>9</v>
      </c>
      <c r="C155">
        <v>0.06</v>
      </c>
      <c r="D155">
        <v>110</v>
      </c>
      <c r="E155">
        <v>0.1</v>
      </c>
      <c r="F155">
        <f>D155/E155</f>
        <v>1100</v>
      </c>
      <c r="G155">
        <v>200</v>
      </c>
      <c r="H155">
        <v>0.17</v>
      </c>
      <c r="I155">
        <f>G155/H155</f>
        <v>1176.4705882352941</v>
      </c>
      <c r="J155">
        <f>(I155+F155)/2</f>
        <v>1138.235294117647</v>
      </c>
    </row>
    <row r="156" spans="2:10" ht="12.75">
      <c r="B156">
        <f>B155+1</f>
        <v>10</v>
      </c>
      <c r="C156">
        <v>0.06</v>
      </c>
      <c r="D156">
        <v>120</v>
      </c>
      <c r="E156">
        <v>0.1</v>
      </c>
      <c r="F156">
        <f>D156/E156</f>
        <v>1200</v>
      </c>
      <c r="G156">
        <v>200</v>
      </c>
      <c r="H156">
        <v>0.17</v>
      </c>
      <c r="I156">
        <f>G156/H156</f>
        <v>1176.4705882352941</v>
      </c>
      <c r="J156">
        <f>(I156+F156)/2</f>
        <v>1188.235294117647</v>
      </c>
    </row>
    <row r="157" spans="2:10" ht="12.75">
      <c r="B157">
        <f>B156+1</f>
        <v>11</v>
      </c>
      <c r="C157">
        <v>0.06</v>
      </c>
      <c r="D157">
        <v>110</v>
      </c>
      <c r="E157">
        <v>0.1</v>
      </c>
      <c r="F157">
        <f>D157/E157</f>
        <v>1100</v>
      </c>
      <c r="G157">
        <v>200</v>
      </c>
      <c r="H157">
        <v>0.17</v>
      </c>
      <c r="I157">
        <f>G157/H157</f>
        <v>1176.4705882352941</v>
      </c>
      <c r="J157">
        <f>(I157+F157)/2</f>
        <v>1138.235294117647</v>
      </c>
    </row>
    <row r="158" spans="2:10" ht="12.75">
      <c r="B158">
        <f>B157+1</f>
        <v>12</v>
      </c>
      <c r="C158">
        <v>0.06</v>
      </c>
      <c r="D158">
        <v>120</v>
      </c>
      <c r="E158">
        <v>0.1</v>
      </c>
      <c r="F158">
        <f>D158/E158</f>
        <v>1200</v>
      </c>
      <c r="G158">
        <v>200</v>
      </c>
      <c r="H158">
        <v>0.17</v>
      </c>
      <c r="I158">
        <f>G158/H158</f>
        <v>1176.4705882352941</v>
      </c>
      <c r="J158">
        <f>(I158+F158)/2</f>
        <v>1188.235294117647</v>
      </c>
    </row>
    <row r="159" spans="2:10" ht="12.75">
      <c r="B159">
        <f>B158+1</f>
        <v>13</v>
      </c>
      <c r="C159">
        <v>0.06</v>
      </c>
      <c r="D159">
        <v>110</v>
      </c>
      <c r="E159">
        <v>0.1</v>
      </c>
      <c r="F159">
        <f>D159/E159</f>
        <v>1100</v>
      </c>
      <c r="G159">
        <v>200</v>
      </c>
      <c r="H159">
        <v>0.17</v>
      </c>
      <c r="I159">
        <f>G159/H159</f>
        <v>1176.4705882352941</v>
      </c>
      <c r="J159">
        <f>(I159+F159)/2</f>
        <v>1138.235294117647</v>
      </c>
    </row>
    <row r="160" spans="2:10" ht="12.75">
      <c r="B160">
        <f>B159+1</f>
        <v>14</v>
      </c>
      <c r="C160">
        <v>0.06</v>
      </c>
      <c r="D160">
        <v>120</v>
      </c>
      <c r="E160">
        <v>0.1</v>
      </c>
      <c r="F160">
        <f>D160/E160</f>
        <v>1200</v>
      </c>
      <c r="G160">
        <v>200</v>
      </c>
      <c r="H160">
        <v>0.17</v>
      </c>
      <c r="I160">
        <f>G160/H160</f>
        <v>1176.4705882352941</v>
      </c>
      <c r="J160">
        <f>(I160+F160)/2</f>
        <v>1188.235294117647</v>
      </c>
    </row>
  </sheetData>
  <sheetProtection/>
  <mergeCells count="3">
    <mergeCell ref="G143:H143"/>
    <mergeCell ref="D144:F144"/>
    <mergeCell ref="G144:I1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10.75390625" style="1" customWidth="1"/>
    <col min="2" max="2" width="12.375" style="1" customWidth="1"/>
    <col min="3" max="3" width="8.875" style="1" customWidth="1"/>
    <col min="4" max="4" width="7.75390625" style="1" customWidth="1"/>
    <col min="5" max="5" width="9.625" style="1" customWidth="1"/>
    <col min="6" max="6" width="10.875" style="1" customWidth="1"/>
    <col min="7" max="7" width="7.125" style="1" customWidth="1"/>
    <col min="8" max="8" width="9.625" style="14" customWidth="1"/>
    <col min="9" max="9" width="14.25390625" style="14" customWidth="1"/>
    <col min="10" max="12" width="9.125" style="1" customWidth="1"/>
  </cols>
  <sheetData>
    <row r="1" ht="12.75">
      <c r="F1" s="7" t="s">
        <v>143</v>
      </c>
    </row>
    <row r="2" spans="2:9" ht="12.75">
      <c r="B2" s="334"/>
      <c r="C2" s="6"/>
      <c r="D2" s="6"/>
      <c r="E2" s="6"/>
      <c r="F2" s="6"/>
      <c r="G2" s="202"/>
      <c r="H2" s="333"/>
      <c r="I2" s="332"/>
    </row>
    <row r="3" spans="2:9" ht="16.5" thickBot="1">
      <c r="B3" s="334"/>
      <c r="C3" s="6"/>
      <c r="D3" s="6"/>
      <c r="E3" s="358"/>
      <c r="F3" s="6"/>
      <c r="G3" s="202"/>
      <c r="H3" s="333"/>
      <c r="I3" s="332"/>
    </row>
    <row r="4" spans="2:9" ht="13.5" thickBot="1">
      <c r="B4" s="357"/>
      <c r="C4" s="355"/>
      <c r="D4" s="356" t="s">
        <v>142</v>
      </c>
      <c r="E4" s="356"/>
      <c r="F4" s="356"/>
      <c r="G4" s="355"/>
      <c r="H4" s="354"/>
      <c r="I4" s="354"/>
    </row>
    <row r="5" spans="1:12" ht="12.75">
      <c r="A5" s="49"/>
      <c r="B5" s="347"/>
      <c r="C5" s="346" t="s">
        <v>130</v>
      </c>
      <c r="D5" s="345" t="s">
        <v>141</v>
      </c>
      <c r="E5" s="345" t="s">
        <v>141</v>
      </c>
      <c r="F5" s="346" t="s">
        <v>140</v>
      </c>
      <c r="G5" s="346" t="s">
        <v>132</v>
      </c>
      <c r="H5" s="345" t="s">
        <v>127</v>
      </c>
      <c r="I5" s="345" t="s">
        <v>139</v>
      </c>
      <c r="J5" s="49"/>
      <c r="K5" s="49"/>
      <c r="L5" s="49"/>
    </row>
    <row r="6" spans="1:12" ht="12.75">
      <c r="A6" s="49"/>
      <c r="B6" s="131" t="s">
        <v>125</v>
      </c>
      <c r="C6" s="343" t="s">
        <v>124</v>
      </c>
      <c r="D6" s="342" t="s">
        <v>128</v>
      </c>
      <c r="E6" s="342" t="s">
        <v>138</v>
      </c>
      <c r="F6" s="343" t="s">
        <v>137</v>
      </c>
      <c r="G6" s="343" t="s">
        <v>128</v>
      </c>
      <c r="H6" s="342" t="s">
        <v>136</v>
      </c>
      <c r="I6" s="342" t="s">
        <v>136</v>
      </c>
      <c r="J6" s="49"/>
      <c r="K6" s="49"/>
      <c r="L6" s="49"/>
    </row>
    <row r="7" spans="1:12" ht="12.75">
      <c r="A7" s="49"/>
      <c r="B7" s="353">
        <v>0</v>
      </c>
      <c r="C7" s="338">
        <v>16218</v>
      </c>
      <c r="D7" s="338">
        <v>0</v>
      </c>
      <c r="E7" s="338">
        <f>C7-D7</f>
        <v>16218</v>
      </c>
      <c r="F7" s="337"/>
      <c r="G7" s="337"/>
      <c r="H7" s="336"/>
      <c r="I7" s="342"/>
      <c r="J7" s="49"/>
      <c r="K7" s="49"/>
      <c r="L7" s="49"/>
    </row>
    <row r="8" spans="1:12" ht="12.75">
      <c r="A8" s="49"/>
      <c r="B8" s="353">
        <v>0.1</v>
      </c>
      <c r="C8" s="338">
        <v>17683</v>
      </c>
      <c r="D8" s="338">
        <v>1646</v>
      </c>
      <c r="E8" s="338">
        <f>C8-D8</f>
        <v>16037</v>
      </c>
      <c r="F8" s="337">
        <f>G8*(1-0.34)</f>
        <v>0.06402</v>
      </c>
      <c r="G8" s="337">
        <v>0.097</v>
      </c>
      <c r="H8" s="336">
        <f>H9</f>
        <v>1646</v>
      </c>
      <c r="I8" s="341">
        <f>G8</f>
        <v>0.097</v>
      </c>
      <c r="J8" s="49"/>
      <c r="K8" s="49"/>
      <c r="L8" s="49"/>
    </row>
    <row r="9" spans="1:12" ht="12.75">
      <c r="A9" s="49"/>
      <c r="B9" s="353">
        <f>B8+0.1</f>
        <v>0.2</v>
      </c>
      <c r="C9" s="338">
        <v>18968</v>
      </c>
      <c r="D9" s="338">
        <f>1646+D8</f>
        <v>3292</v>
      </c>
      <c r="E9" s="338">
        <f>C9-D9</f>
        <v>15676</v>
      </c>
      <c r="F9" s="337">
        <f>G9*(1-0.34)</f>
        <v>0.06929999999999999</v>
      </c>
      <c r="G9" s="337">
        <v>0.105</v>
      </c>
      <c r="H9" s="336">
        <f>D9-D8</f>
        <v>1646</v>
      </c>
      <c r="I9" s="335">
        <f>((D9*G9)-(D8*G8))/H9</f>
        <v>0.11299999999999998</v>
      </c>
      <c r="J9" s="49"/>
      <c r="K9" s="49"/>
      <c r="L9" s="49"/>
    </row>
    <row r="10" spans="1:12" ht="12.75">
      <c r="A10" s="49"/>
      <c r="B10" s="353">
        <f>B9+0.1</f>
        <v>0.30000000000000004</v>
      </c>
      <c r="C10" s="340">
        <v>19772</v>
      </c>
      <c r="D10" s="338">
        <f>1646+D9</f>
        <v>4938</v>
      </c>
      <c r="E10" s="338">
        <f>C10-D10</f>
        <v>14834</v>
      </c>
      <c r="F10" s="337">
        <f>G10*(1-0.34)</f>
        <v>0.0759</v>
      </c>
      <c r="G10" s="337">
        <v>0.115</v>
      </c>
      <c r="H10" s="336">
        <f>D10-D9</f>
        <v>1646</v>
      </c>
      <c r="I10" s="335">
        <f>((D10*G10)-(D9*G9))/H10</f>
        <v>0.135</v>
      </c>
      <c r="J10" s="49"/>
      <c r="K10" s="49"/>
      <c r="L10" s="49"/>
    </row>
    <row r="11" spans="1:12" ht="12.75">
      <c r="A11" s="49"/>
      <c r="B11" s="353">
        <f>B10+0.1</f>
        <v>0.4</v>
      </c>
      <c r="C11" s="338">
        <v>18327</v>
      </c>
      <c r="D11" s="338">
        <f>1646+D10</f>
        <v>6584</v>
      </c>
      <c r="E11" s="338">
        <f>C11-D11</f>
        <v>11743</v>
      </c>
      <c r="F11" s="337">
        <f>G11*(1-0.34)</f>
        <v>0.0924</v>
      </c>
      <c r="G11" s="337">
        <v>0.14</v>
      </c>
      <c r="H11" s="336">
        <f>D11-D10</f>
        <v>1646</v>
      </c>
      <c r="I11" s="335">
        <f>((D11*G11)-(D10*G10))/H11</f>
        <v>0.21500000000000005</v>
      </c>
      <c r="J11" s="49"/>
      <c r="K11" s="49"/>
      <c r="L11" s="49"/>
    </row>
    <row r="12" spans="1:12" ht="12.75">
      <c r="A12" s="49"/>
      <c r="B12" s="353">
        <f>B11+0.1</f>
        <v>0.5</v>
      </c>
      <c r="C12" s="338">
        <v>17657</v>
      </c>
      <c r="D12" s="338">
        <f>1646+D11</f>
        <v>8230</v>
      </c>
      <c r="E12" s="338">
        <f>C12-D12</f>
        <v>9427</v>
      </c>
      <c r="F12" s="337">
        <f>G12*(1-0.34)</f>
        <v>0.09899999999999999</v>
      </c>
      <c r="G12" s="337">
        <v>0.15</v>
      </c>
      <c r="H12" s="336">
        <f>D12-D11</f>
        <v>1646</v>
      </c>
      <c r="I12" s="335">
        <f>((D12*G12)-(D11*G11))/H12</f>
        <v>0.18999999999999995</v>
      </c>
      <c r="J12" s="49"/>
      <c r="K12" s="49"/>
      <c r="L12" s="49"/>
    </row>
    <row r="13" spans="1:12" ht="12.75">
      <c r="A13" s="49"/>
      <c r="B13" s="353">
        <f>B12+0.1</f>
        <v>0.6</v>
      </c>
      <c r="C13" s="338">
        <v>14257</v>
      </c>
      <c r="D13" s="338">
        <f>1646+D12</f>
        <v>9876</v>
      </c>
      <c r="E13" s="338">
        <f>C13-D13</f>
        <v>4381</v>
      </c>
      <c r="F13" s="337">
        <f>G13*(1-0.2896)</f>
        <v>0.11721599999999999</v>
      </c>
      <c r="G13" s="337">
        <v>0.165</v>
      </c>
      <c r="H13" s="336">
        <f>D13-D12</f>
        <v>1646</v>
      </c>
      <c r="I13" s="335">
        <f>((D13*G13)-(D12*G12))/H13</f>
        <v>0.24</v>
      </c>
      <c r="J13" s="49"/>
      <c r="K13" s="49"/>
      <c r="L13" s="49"/>
    </row>
    <row r="14" spans="1:12" ht="12.75">
      <c r="A14" s="49"/>
      <c r="B14" s="353">
        <f>B13+0.1</f>
        <v>0.7</v>
      </c>
      <c r="C14" s="338">
        <v>10880</v>
      </c>
      <c r="D14" s="338">
        <f>1646+D13</f>
        <v>11522</v>
      </c>
      <c r="E14" s="340">
        <f>C14-D14</f>
        <v>-642</v>
      </c>
      <c r="F14" s="337">
        <f>G14*(1-0.2276)</f>
        <v>0.139032</v>
      </c>
      <c r="G14" s="337">
        <v>0.18</v>
      </c>
      <c r="H14" s="336">
        <f>D14-D13</f>
        <v>1646</v>
      </c>
      <c r="I14" s="335">
        <f>((D14*G14)-(D13*G13))/H14</f>
        <v>0.27</v>
      </c>
      <c r="J14" s="49"/>
      <c r="K14" s="49"/>
      <c r="L14" s="49"/>
    </row>
    <row r="15" spans="1:12" ht="12.75">
      <c r="A15" s="49"/>
      <c r="B15" s="353">
        <f>B14+0.1</f>
        <v>0.7999999999999999</v>
      </c>
      <c r="C15" s="338">
        <v>9769</v>
      </c>
      <c r="D15" s="338">
        <f>1646+D14</f>
        <v>13168</v>
      </c>
      <c r="E15" s="340">
        <f>C15-D15</f>
        <v>-3399</v>
      </c>
      <c r="F15" s="337">
        <f>G15*(1-0.1991)</f>
        <v>0.14416199999999998</v>
      </c>
      <c r="G15" s="337">
        <v>0.18</v>
      </c>
      <c r="H15" s="336">
        <f>D15-D14</f>
        <v>1646</v>
      </c>
      <c r="I15" s="335">
        <f>((D15*G15)-(D14*G14))/H15</f>
        <v>0.17999999999999985</v>
      </c>
      <c r="J15" s="49"/>
      <c r="K15" s="49"/>
      <c r="L15" s="49"/>
    </row>
    <row r="16" spans="1:12" ht="12.75">
      <c r="A16" s="49"/>
      <c r="B16" s="353">
        <f>B15+0.1</f>
        <v>0.8999999999999999</v>
      </c>
      <c r="C16" s="338">
        <v>8864</v>
      </c>
      <c r="D16" s="338">
        <f>1646+D15</f>
        <v>14814</v>
      </c>
      <c r="E16" s="340">
        <f>C16-D16</f>
        <v>-5950</v>
      </c>
      <c r="F16" s="337">
        <f>G16*(1-0.177)</f>
        <v>0.14814</v>
      </c>
      <c r="G16" s="337">
        <v>0.18</v>
      </c>
      <c r="H16" s="336">
        <f>D16-D15</f>
        <v>1646</v>
      </c>
      <c r="I16" s="335">
        <f>((D16*G16)-(D15*G15))/H16</f>
        <v>0.18000000000000013</v>
      </c>
      <c r="J16" s="49"/>
      <c r="K16" s="49"/>
      <c r="L16" s="49"/>
    </row>
    <row r="17" spans="1:12" ht="12.75">
      <c r="A17" s="49"/>
      <c r="B17" s="49" t="s">
        <v>135</v>
      </c>
      <c r="C17" s="49"/>
      <c r="D17" s="49"/>
      <c r="E17" s="49"/>
      <c r="F17" s="125"/>
      <c r="G17" s="49"/>
      <c r="H17" s="24"/>
      <c r="I17" s="24"/>
      <c r="J17" s="49"/>
      <c r="K17" s="49"/>
      <c r="L17" s="49"/>
    </row>
    <row r="18" ht="12.75">
      <c r="F18" s="6"/>
    </row>
    <row r="19" ht="12.75">
      <c r="F19" s="6" t="s">
        <v>118</v>
      </c>
    </row>
    <row r="32" ht="13.5" thickBot="1"/>
    <row r="33" spans="1:12" ht="13.5" thickBot="1">
      <c r="A33" s="49"/>
      <c r="B33" s="352"/>
      <c r="C33" s="235"/>
      <c r="D33" s="351" t="s">
        <v>134</v>
      </c>
      <c r="E33" s="351"/>
      <c r="F33" s="351"/>
      <c r="G33" s="235"/>
      <c r="H33" s="350"/>
      <c r="I33" s="350"/>
      <c r="J33" s="49"/>
      <c r="K33" s="49"/>
      <c r="L33" s="49"/>
    </row>
    <row r="34" spans="1:12" ht="12.75">
      <c r="A34" s="49"/>
      <c r="B34" s="349"/>
      <c r="C34" s="348"/>
      <c r="D34" s="346" t="s">
        <v>133</v>
      </c>
      <c r="E34" s="346"/>
      <c r="F34" s="346" t="s">
        <v>132</v>
      </c>
      <c r="G34" s="346" t="s">
        <v>132</v>
      </c>
      <c r="H34" s="345"/>
      <c r="I34" s="345" t="s">
        <v>131</v>
      </c>
      <c r="J34" s="49"/>
      <c r="K34" s="49"/>
      <c r="L34" s="49"/>
    </row>
    <row r="35" spans="1:12" ht="12.75">
      <c r="A35" s="49"/>
      <c r="B35" s="347"/>
      <c r="C35" s="346" t="s">
        <v>130</v>
      </c>
      <c r="D35" s="346" t="s">
        <v>129</v>
      </c>
      <c r="E35" s="346"/>
      <c r="F35" s="346" t="s">
        <v>128</v>
      </c>
      <c r="G35" s="346" t="s">
        <v>128</v>
      </c>
      <c r="H35" s="345" t="s">
        <v>127</v>
      </c>
      <c r="I35" s="345" t="s">
        <v>126</v>
      </c>
      <c r="J35" s="49"/>
      <c r="K35" s="49"/>
      <c r="L35" s="49"/>
    </row>
    <row r="36" spans="1:12" ht="12.75">
      <c r="A36" s="49"/>
      <c r="B36" s="344" t="s">
        <v>125</v>
      </c>
      <c r="C36" s="343" t="s">
        <v>124</v>
      </c>
      <c r="D36" s="343" t="s">
        <v>123</v>
      </c>
      <c r="E36" s="343"/>
      <c r="F36" s="343" t="s">
        <v>122</v>
      </c>
      <c r="G36" s="343" t="s">
        <v>121</v>
      </c>
      <c r="H36" s="342" t="s">
        <v>120</v>
      </c>
      <c r="I36" s="342" t="s">
        <v>119</v>
      </c>
      <c r="J36" s="49"/>
      <c r="K36" s="49"/>
      <c r="L36" s="49"/>
    </row>
    <row r="37" spans="1:12" ht="12.75">
      <c r="A37" s="49"/>
      <c r="B37" s="339">
        <v>0</v>
      </c>
      <c r="C37" s="338">
        <v>16232</v>
      </c>
      <c r="D37" s="338">
        <f>C37*B37</f>
        <v>0</v>
      </c>
      <c r="E37" s="338"/>
      <c r="F37" s="337">
        <f>G37*(1-0.34)</f>
        <v>0.06402</v>
      </c>
      <c r="G37" s="337">
        <v>0.097</v>
      </c>
      <c r="H37" s="342"/>
      <c r="I37" s="342"/>
      <c r="J37" s="49"/>
      <c r="K37" s="49"/>
      <c r="L37" s="49"/>
    </row>
    <row r="38" spans="1:12" ht="12.75">
      <c r="A38" s="49"/>
      <c r="B38" s="339">
        <f>B37+0.1</f>
        <v>0.1</v>
      </c>
      <c r="C38" s="338">
        <v>17683</v>
      </c>
      <c r="D38" s="338">
        <f>C38*B38</f>
        <v>1768.3000000000002</v>
      </c>
      <c r="E38" s="338"/>
      <c r="F38" s="337">
        <f>G38*(1-0.34)</f>
        <v>0.06402</v>
      </c>
      <c r="G38" s="337">
        <v>0.097</v>
      </c>
      <c r="H38" s="336">
        <f>D38-D37</f>
        <v>1768.3000000000002</v>
      </c>
      <c r="I38" s="341">
        <f>G38</f>
        <v>0.097</v>
      </c>
      <c r="J38" s="49"/>
      <c r="K38" s="49"/>
      <c r="L38" s="49"/>
    </row>
    <row r="39" spans="1:12" ht="12.75">
      <c r="A39" s="49"/>
      <c r="B39" s="339">
        <f>B38+0.1</f>
        <v>0.2</v>
      </c>
      <c r="C39" s="338">
        <v>18968</v>
      </c>
      <c r="D39" s="338">
        <f>C39*B39</f>
        <v>3793.6000000000004</v>
      </c>
      <c r="E39" s="338"/>
      <c r="F39" s="337">
        <f>G39*(1-0.34)</f>
        <v>0.06929999999999999</v>
      </c>
      <c r="G39" s="337">
        <v>0.105</v>
      </c>
      <c r="H39" s="336">
        <f>D39-D38</f>
        <v>2025.3000000000002</v>
      </c>
      <c r="I39" s="335">
        <f>((D39*G39)-(D38*G38))/H39</f>
        <v>0.11198484175183923</v>
      </c>
      <c r="J39" s="49"/>
      <c r="K39" s="49"/>
      <c r="L39" s="49"/>
    </row>
    <row r="40" spans="1:12" ht="12.75">
      <c r="A40" s="49"/>
      <c r="B40" s="339">
        <f>B39+0.1</f>
        <v>0.30000000000000004</v>
      </c>
      <c r="C40" s="340">
        <v>19772</v>
      </c>
      <c r="D40" s="338">
        <f>C40*B40</f>
        <v>5931.600000000001</v>
      </c>
      <c r="E40" s="338"/>
      <c r="F40" s="337">
        <f>G40*(1-0.34)</f>
        <v>0.0759</v>
      </c>
      <c r="G40" s="337">
        <v>0.115</v>
      </c>
      <c r="H40" s="336">
        <f>D40-D39</f>
        <v>2138.000000000001</v>
      </c>
      <c r="I40" s="335">
        <f>((D40*G40)-(D39*G39))/H40</f>
        <v>0.13274368568755845</v>
      </c>
      <c r="J40" s="49"/>
      <c r="K40" s="49"/>
      <c r="L40" s="49"/>
    </row>
    <row r="41" spans="1:12" ht="12.75">
      <c r="A41" s="49"/>
      <c r="B41" s="339">
        <f>B40+0.1</f>
        <v>0.4</v>
      </c>
      <c r="C41" s="338">
        <v>18327</v>
      </c>
      <c r="D41" s="338">
        <f>C41*B41</f>
        <v>7330.8</v>
      </c>
      <c r="E41" s="338"/>
      <c r="F41" s="337">
        <f>G41*(1-0.34)</f>
        <v>0.0924</v>
      </c>
      <c r="G41" s="337">
        <v>0.14</v>
      </c>
      <c r="H41" s="336">
        <f>D41-D40</f>
        <v>1399.199999999999</v>
      </c>
      <c r="I41" s="335">
        <f>((D41*G41)-(D40*G40))/H41</f>
        <v>0.24598198970840499</v>
      </c>
      <c r="J41" s="49"/>
      <c r="K41" s="49"/>
      <c r="L41" s="49"/>
    </row>
    <row r="42" spans="1:12" ht="12.75">
      <c r="A42" s="49"/>
      <c r="B42" s="339">
        <f>B41+0.1</f>
        <v>0.5</v>
      </c>
      <c r="C42" s="338">
        <v>17657</v>
      </c>
      <c r="D42" s="338">
        <f>C42*B42</f>
        <v>8828.5</v>
      </c>
      <c r="E42" s="338"/>
      <c r="F42" s="337">
        <f>G42*(1-0.34)</f>
        <v>0.09899999999999999</v>
      </c>
      <c r="G42" s="337">
        <v>0.15</v>
      </c>
      <c r="H42" s="336">
        <f>D42-D41</f>
        <v>1497.6999999999998</v>
      </c>
      <c r="I42" s="335">
        <f>((D42*G42)-(D41*G41))/H42</f>
        <v>0.19894705214662467</v>
      </c>
      <c r="J42" s="49"/>
      <c r="K42" s="49"/>
      <c r="L42" s="49"/>
    </row>
    <row r="43" spans="1:12" ht="12.75">
      <c r="A43" s="49"/>
      <c r="B43" s="339">
        <f>B42+0.1</f>
        <v>0.6</v>
      </c>
      <c r="C43" s="338">
        <v>14257</v>
      </c>
      <c r="D43" s="338">
        <f>C43*B43</f>
        <v>8554.199999999999</v>
      </c>
      <c r="E43" s="338"/>
      <c r="F43" s="337">
        <f>G43*(1-0.2896)</f>
        <v>0.11721599999999999</v>
      </c>
      <c r="G43" s="337">
        <v>0.165</v>
      </c>
      <c r="H43" s="336">
        <f>D43-D42</f>
        <v>-274.3000000000011</v>
      </c>
      <c r="I43" s="335">
        <f>((D43*G43)-(D42*G42))/H43</f>
        <v>-0.3177834487787086</v>
      </c>
      <c r="J43" s="49"/>
      <c r="K43" s="49"/>
      <c r="L43" s="49"/>
    </row>
    <row r="44" spans="1:12" ht="12.75">
      <c r="A44" s="49"/>
      <c r="B44" s="339">
        <f>B43+0.1</f>
        <v>0.7</v>
      </c>
      <c r="C44" s="338">
        <v>10880</v>
      </c>
      <c r="D44" s="338">
        <f>C44*B44</f>
        <v>7615.999999999999</v>
      </c>
      <c r="E44" s="338"/>
      <c r="F44" s="337">
        <f>G44*(1-0.2276)</f>
        <v>0.139032</v>
      </c>
      <c r="G44" s="337">
        <v>0.18</v>
      </c>
      <c r="H44" s="336">
        <f>D44-D43</f>
        <v>-938.1999999999998</v>
      </c>
      <c r="I44" s="335">
        <f>((D44*G44)-(D43*G43))/H44</f>
        <v>0.04323491792794725</v>
      </c>
      <c r="J44" s="49"/>
      <c r="K44" s="49"/>
      <c r="L44" s="49"/>
    </row>
    <row r="45" spans="1:12" ht="12.75">
      <c r="A45" s="49"/>
      <c r="B45" s="339">
        <f>B44+0.1</f>
        <v>0.7999999999999999</v>
      </c>
      <c r="C45" s="338">
        <v>9769</v>
      </c>
      <c r="D45" s="338">
        <f>C45*B45</f>
        <v>7815.199999999999</v>
      </c>
      <c r="E45" s="338"/>
      <c r="F45" s="337">
        <f>G45*(1-0.1991)</f>
        <v>0.14416199999999998</v>
      </c>
      <c r="G45" s="337">
        <v>0.18</v>
      </c>
      <c r="H45" s="336">
        <f>D45-D44</f>
        <v>199.19999999999982</v>
      </c>
      <c r="I45" s="335">
        <f>((D45*G45)-(D44*G44))/H45</f>
        <v>0.179999999999999</v>
      </c>
      <c r="J45" s="49"/>
      <c r="K45" s="49"/>
      <c r="L45" s="49"/>
    </row>
    <row r="46" spans="1:12" ht="12.75">
      <c r="A46" s="49"/>
      <c r="B46" s="339">
        <f>B45+0.1</f>
        <v>0.8999999999999999</v>
      </c>
      <c r="C46" s="338">
        <v>8864</v>
      </c>
      <c r="D46" s="338">
        <f>C46*B46</f>
        <v>7977.599999999999</v>
      </c>
      <c r="E46" s="338"/>
      <c r="F46" s="337">
        <f>G46*(1-0.177)</f>
        <v>0.14814</v>
      </c>
      <c r="G46" s="337">
        <v>0.18</v>
      </c>
      <c r="H46" s="336">
        <f>D46-D45</f>
        <v>162.40000000000055</v>
      </c>
      <c r="I46" s="335">
        <f>((D46*G46)-(D45*G45))/H46</f>
        <v>0.1800000000000006</v>
      </c>
      <c r="J46" s="49"/>
      <c r="K46" s="49"/>
      <c r="L46" s="49"/>
    </row>
    <row r="47" spans="2:9" ht="12.75">
      <c r="B47" s="334"/>
      <c r="C47" s="6"/>
      <c r="D47" s="6"/>
      <c r="E47" s="6"/>
      <c r="F47" s="6" t="s">
        <v>118</v>
      </c>
      <c r="G47" s="202"/>
      <c r="H47" s="333"/>
      <c r="I47" s="3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pane ySplit="4170" topLeftCell="A38" activePane="bottomLeft" state="split"/>
      <selection pane="topLeft" activeCell="A1" sqref="A1"/>
      <selection pane="bottomLeft" activeCell="N42" sqref="N42"/>
    </sheetView>
  </sheetViews>
  <sheetFormatPr defaultColWidth="9.00390625" defaultRowHeight="12.75"/>
  <cols>
    <col min="1" max="1" width="2.875" style="360" customWidth="1"/>
    <col min="2" max="2" width="16.75390625" style="359" customWidth="1"/>
    <col min="3" max="12" width="6.375" style="359" customWidth="1"/>
    <col min="13" max="15" width="9.125" style="359" customWidth="1"/>
  </cols>
  <sheetData>
    <row r="1" ht="12.75">
      <c r="F1" s="360" t="s">
        <v>190</v>
      </c>
    </row>
    <row r="2" ht="15.75">
      <c r="F2" s="331" t="s">
        <v>193</v>
      </c>
    </row>
    <row r="3" ht="13.5" thickBot="1"/>
    <row r="4" spans="1:15" ht="13.5" thickBot="1">
      <c r="A4" s="413">
        <v>1</v>
      </c>
      <c r="B4" s="381" t="s">
        <v>170</v>
      </c>
      <c r="C4" s="381">
        <v>0</v>
      </c>
      <c r="D4" s="381">
        <f>C4+0.1</f>
        <v>0.1</v>
      </c>
      <c r="E4" s="381">
        <f>D4+0.1</f>
        <v>0.2</v>
      </c>
      <c r="F4" s="381">
        <f>E4+0.1</f>
        <v>0.30000000000000004</v>
      </c>
      <c r="G4" s="381">
        <f>F4+0.1</f>
        <v>0.4</v>
      </c>
      <c r="H4" s="381">
        <f>G4+0.1</f>
        <v>0.5</v>
      </c>
      <c r="I4" s="381">
        <f>H4+0.1</f>
        <v>0.6</v>
      </c>
      <c r="J4" s="381">
        <f>I4+0.1</f>
        <v>0.7</v>
      </c>
      <c r="K4" s="381">
        <f>J4+0.1</f>
        <v>0.7999999999999999</v>
      </c>
      <c r="L4" s="380">
        <f>K4+0.1</f>
        <v>0.8999999999999999</v>
      </c>
      <c r="M4" s="370"/>
      <c r="N4" s="370"/>
      <c r="O4" s="370"/>
    </row>
    <row r="5" spans="1:15" ht="12.75">
      <c r="A5" s="390">
        <f>A4+1</f>
        <v>2</v>
      </c>
      <c r="B5" s="410" t="s">
        <v>189</v>
      </c>
      <c r="C5" s="410">
        <f>C4/(1-C4)</f>
        <v>0</v>
      </c>
      <c r="D5" s="410">
        <f>D4/(1-D4)</f>
        <v>0.11111111111111112</v>
      </c>
      <c r="E5" s="410">
        <f>E4/(1-E4)</f>
        <v>0.25</v>
      </c>
      <c r="F5" s="410">
        <f>F4/(1-F4)</f>
        <v>0.42857142857142866</v>
      </c>
      <c r="G5" s="410">
        <f>G4/(1-G4)</f>
        <v>0.6666666666666667</v>
      </c>
      <c r="H5" s="410">
        <f>H4/(1-H4)</f>
        <v>1</v>
      </c>
      <c r="I5" s="410">
        <f>I4/(1-I4)</f>
        <v>1.4999999999999998</v>
      </c>
      <c r="J5" s="410">
        <f>J4/(1-J4)</f>
        <v>2.333333333333333</v>
      </c>
      <c r="K5" s="410">
        <f>K4/(1-K4)</f>
        <v>3.9999999999999982</v>
      </c>
      <c r="L5" s="412">
        <f>L4/(1-L4)</f>
        <v>8.999999999999991</v>
      </c>
      <c r="M5" s="368"/>
      <c r="N5" s="368"/>
      <c r="O5" s="368"/>
    </row>
    <row r="6" spans="1:12" ht="12.75">
      <c r="A6" s="390">
        <f>A5+1</f>
        <v>3</v>
      </c>
      <c r="B6" s="378" t="s">
        <v>188</v>
      </c>
      <c r="C6" s="392">
        <v>0</v>
      </c>
      <c r="D6" s="392">
        <v>1646</v>
      </c>
      <c r="E6" s="392">
        <f>D6*E4/D4</f>
        <v>3292.0000000000005</v>
      </c>
      <c r="F6" s="392">
        <f>E6*F4/E4</f>
        <v>4938.000000000001</v>
      </c>
      <c r="G6" s="392">
        <f>F6*G4/F4</f>
        <v>6584.000000000001</v>
      </c>
      <c r="H6" s="392">
        <f>G6*H4/G4</f>
        <v>8230</v>
      </c>
      <c r="I6" s="392">
        <f>H6*I4/H4</f>
        <v>9876</v>
      </c>
      <c r="J6" s="392">
        <f>I6*J4/I4</f>
        <v>11522</v>
      </c>
      <c r="K6" s="392">
        <f>J6*K4/J4</f>
        <v>13167.999999999998</v>
      </c>
      <c r="L6" s="391">
        <f>K6*L4/K4</f>
        <v>14813.999999999998</v>
      </c>
    </row>
    <row r="7" spans="1:15" ht="12.75">
      <c r="A7" s="390">
        <f>A6+1</f>
        <v>4</v>
      </c>
      <c r="B7" s="411" t="s">
        <v>151</v>
      </c>
      <c r="C7" s="397">
        <v>0.097</v>
      </c>
      <c r="D7" s="397">
        <v>0.097</v>
      </c>
      <c r="E7" s="397">
        <v>0.105</v>
      </c>
      <c r="F7" s="397">
        <v>0.115</v>
      </c>
      <c r="G7" s="397">
        <v>0.14</v>
      </c>
      <c r="H7" s="397">
        <v>0.15</v>
      </c>
      <c r="I7" s="397">
        <v>0.165</v>
      </c>
      <c r="J7" s="397">
        <v>0.18</v>
      </c>
      <c r="K7" s="397">
        <v>0.18</v>
      </c>
      <c r="L7" s="396">
        <v>0.18</v>
      </c>
      <c r="M7" s="369"/>
      <c r="N7" s="369"/>
      <c r="O7" s="369"/>
    </row>
    <row r="8" spans="1:12" ht="12.75">
      <c r="A8" s="390">
        <f>A7+1</f>
        <v>5</v>
      </c>
      <c r="B8" s="378" t="s">
        <v>187</v>
      </c>
      <c r="C8" s="410">
        <v>0.34</v>
      </c>
      <c r="D8" s="410">
        <v>0.34</v>
      </c>
      <c r="E8" s="410">
        <v>0.34</v>
      </c>
      <c r="F8" s="410">
        <v>0.34</v>
      </c>
      <c r="G8" s="410">
        <v>0.34</v>
      </c>
      <c r="H8" s="410">
        <v>0.34</v>
      </c>
      <c r="I8" s="409">
        <v>0.2896</v>
      </c>
      <c r="J8" s="409">
        <v>0.2276</v>
      </c>
      <c r="K8" s="409">
        <v>0.1991</v>
      </c>
      <c r="L8" s="408">
        <v>0.177</v>
      </c>
    </row>
    <row r="9" spans="1:12" ht="12.75">
      <c r="A9" s="386">
        <f>A8+1</f>
        <v>6</v>
      </c>
      <c r="B9" s="374" t="s">
        <v>149</v>
      </c>
      <c r="C9" s="374">
        <v>0.94</v>
      </c>
      <c r="D9" s="374">
        <v>0.94</v>
      </c>
      <c r="E9" s="374">
        <v>0.94</v>
      </c>
      <c r="F9" s="374">
        <v>0.94</v>
      </c>
      <c r="G9" s="374">
        <v>0.94</v>
      </c>
      <c r="H9" s="374">
        <v>0.94</v>
      </c>
      <c r="I9" s="374">
        <v>0.94</v>
      </c>
      <c r="J9" s="374">
        <v>0.94</v>
      </c>
      <c r="K9" s="374">
        <v>0.94</v>
      </c>
      <c r="L9" s="407">
        <v>0.94</v>
      </c>
    </row>
    <row r="10" spans="1:12" ht="12.75">
      <c r="A10" s="406"/>
      <c r="B10" s="405" t="s">
        <v>168</v>
      </c>
      <c r="C10" s="378"/>
      <c r="D10" s="378"/>
      <c r="E10" s="378"/>
      <c r="F10" s="378"/>
      <c r="G10" s="378"/>
      <c r="H10" s="378"/>
      <c r="I10" s="378"/>
      <c r="J10" s="378"/>
      <c r="K10" s="378"/>
      <c r="L10" s="404"/>
    </row>
    <row r="11" spans="1:12" ht="12.75">
      <c r="A11" s="390">
        <f>A9+1</f>
        <v>7</v>
      </c>
      <c r="B11" s="378" t="s">
        <v>167</v>
      </c>
      <c r="C11" s="392">
        <v>2063</v>
      </c>
      <c r="D11" s="392">
        <v>2063</v>
      </c>
      <c r="E11" s="392">
        <v>2063</v>
      </c>
      <c r="F11" s="392">
        <v>2063</v>
      </c>
      <c r="G11" s="392">
        <v>2063</v>
      </c>
      <c r="H11" s="392">
        <v>2063</v>
      </c>
      <c r="I11" s="392">
        <v>2063</v>
      </c>
      <c r="J11" s="392">
        <v>2063</v>
      </c>
      <c r="K11" s="392">
        <v>2063</v>
      </c>
      <c r="L11" s="391">
        <v>2063</v>
      </c>
    </row>
    <row r="12" spans="1:12" ht="12.75">
      <c r="A12" s="390">
        <f>A11+1</f>
        <v>8</v>
      </c>
      <c r="B12" s="378" t="s">
        <v>166</v>
      </c>
      <c r="C12" s="392">
        <v>675</v>
      </c>
      <c r="D12" s="392">
        <v>675</v>
      </c>
      <c r="E12" s="392">
        <v>675</v>
      </c>
      <c r="F12" s="392">
        <v>675</v>
      </c>
      <c r="G12" s="392">
        <v>675</v>
      </c>
      <c r="H12" s="392">
        <v>675</v>
      </c>
      <c r="I12" s="392">
        <v>675</v>
      </c>
      <c r="J12" s="392">
        <v>675</v>
      </c>
      <c r="K12" s="392">
        <v>675</v>
      </c>
      <c r="L12" s="391">
        <v>675</v>
      </c>
    </row>
    <row r="13" spans="1:12" ht="12.75">
      <c r="A13" s="390">
        <f>A12+1</f>
        <v>9</v>
      </c>
      <c r="B13" s="378" t="s">
        <v>165</v>
      </c>
      <c r="C13" s="392">
        <f>C6*C7</f>
        <v>0</v>
      </c>
      <c r="D13" s="392">
        <f>D6*D7</f>
        <v>159.662</v>
      </c>
      <c r="E13" s="392">
        <f>E6*E7</f>
        <v>345.66</v>
      </c>
      <c r="F13" s="392">
        <f>F6*F7</f>
        <v>567.8700000000001</v>
      </c>
      <c r="G13" s="392">
        <f>G6*G7</f>
        <v>921.7600000000002</v>
      </c>
      <c r="H13" s="392">
        <f>H6*H7</f>
        <v>1234.5</v>
      </c>
      <c r="I13" s="392">
        <f>I6*I7</f>
        <v>1629.54</v>
      </c>
      <c r="J13" s="392">
        <f>J6*J7</f>
        <v>2073.96</v>
      </c>
      <c r="K13" s="392">
        <f>K6*K7</f>
        <v>2370.24</v>
      </c>
      <c r="L13" s="391">
        <f>L6*L7</f>
        <v>2666.5199999999995</v>
      </c>
    </row>
    <row r="14" spans="1:12" ht="12.75">
      <c r="A14" s="390">
        <f>A13+1</f>
        <v>10</v>
      </c>
      <c r="B14" s="378" t="s">
        <v>186</v>
      </c>
      <c r="C14" s="392">
        <f>C11-C12-C13</f>
        <v>1388</v>
      </c>
      <c r="D14" s="392">
        <f>D11-D12-D13</f>
        <v>1228.338</v>
      </c>
      <c r="E14" s="392">
        <f>E11-E12-E13</f>
        <v>1042.34</v>
      </c>
      <c r="F14" s="392">
        <f>F11-F12-F13</f>
        <v>820.1299999999999</v>
      </c>
      <c r="G14" s="392">
        <f>G11-G12-G13</f>
        <v>466.2399999999998</v>
      </c>
      <c r="H14" s="392">
        <f>H11-H12-H13</f>
        <v>153.5</v>
      </c>
      <c r="I14" s="392">
        <f>I11-I12-I13</f>
        <v>-241.53999999999996</v>
      </c>
      <c r="J14" s="392">
        <f>J11-J12-J13</f>
        <v>-685.96</v>
      </c>
      <c r="K14" s="392">
        <f>K11-K12-K13</f>
        <v>-982.2399999999998</v>
      </c>
      <c r="L14" s="391">
        <f>L11-L12-L13</f>
        <v>-1278.5199999999995</v>
      </c>
    </row>
    <row r="15" spans="1:12" ht="12.75">
      <c r="A15" s="390">
        <f>A14+1</f>
        <v>11</v>
      </c>
      <c r="B15" s="378" t="s">
        <v>163</v>
      </c>
      <c r="C15" s="392">
        <f>C14*C8</f>
        <v>471.92</v>
      </c>
      <c r="D15" s="392">
        <f>D14*D8</f>
        <v>417.63492</v>
      </c>
      <c r="E15" s="392">
        <f>E14*E8</f>
        <v>354.3956</v>
      </c>
      <c r="F15" s="392">
        <f>F14*F8</f>
        <v>278.8442</v>
      </c>
      <c r="G15" s="392">
        <f>G14*G8</f>
        <v>158.52159999999995</v>
      </c>
      <c r="H15" s="392">
        <f>H14*H8</f>
        <v>52.190000000000005</v>
      </c>
      <c r="I15" s="388">
        <f>I14*0.34</f>
        <v>-82.1236</v>
      </c>
      <c r="J15" s="388">
        <f>J14*0.34</f>
        <v>-233.22640000000004</v>
      </c>
      <c r="K15" s="388">
        <f>K14*0.34</f>
        <v>-333.9616</v>
      </c>
      <c r="L15" s="387">
        <f>L14*0.34</f>
        <v>-434.6967999999999</v>
      </c>
    </row>
    <row r="16" spans="1:15" ht="12.75">
      <c r="A16" s="390">
        <f>A15+1</f>
        <v>12</v>
      </c>
      <c r="B16" s="375" t="s">
        <v>162</v>
      </c>
      <c r="C16" s="384">
        <f>C14-C15</f>
        <v>916.0799999999999</v>
      </c>
      <c r="D16" s="384">
        <f>D14-D15</f>
        <v>810.70308</v>
      </c>
      <c r="E16" s="384">
        <f>E14-E15</f>
        <v>687.9443999999999</v>
      </c>
      <c r="F16" s="384">
        <f>F14-F15</f>
        <v>541.2857999999999</v>
      </c>
      <c r="G16" s="384">
        <f>G14-G15</f>
        <v>307.71839999999986</v>
      </c>
      <c r="H16" s="384">
        <f>H14-H15</f>
        <v>101.31</v>
      </c>
      <c r="I16" s="384">
        <f>I14-I15</f>
        <v>-159.41639999999995</v>
      </c>
      <c r="J16" s="384">
        <f>J14-J15</f>
        <v>-452.7336</v>
      </c>
      <c r="K16" s="384">
        <f>K14-K15</f>
        <v>-648.2783999999998</v>
      </c>
      <c r="L16" s="383">
        <f>L14-L15</f>
        <v>-843.8231999999996</v>
      </c>
      <c r="M16" s="360"/>
      <c r="N16" s="360"/>
      <c r="O16" s="360"/>
    </row>
    <row r="17" spans="1:12" ht="12.75">
      <c r="A17" s="390">
        <f>A16+1</f>
        <v>13</v>
      </c>
      <c r="B17" s="378" t="s">
        <v>185</v>
      </c>
      <c r="C17" s="392">
        <f>C12</f>
        <v>675</v>
      </c>
      <c r="D17" s="392">
        <f>D12</f>
        <v>675</v>
      </c>
      <c r="E17" s="392">
        <f>E12</f>
        <v>675</v>
      </c>
      <c r="F17" s="392">
        <f>F12</f>
        <v>675</v>
      </c>
      <c r="G17" s="392">
        <f>G12</f>
        <v>675</v>
      </c>
      <c r="H17" s="392">
        <f>H12</f>
        <v>675</v>
      </c>
      <c r="I17" s="392">
        <f>I12</f>
        <v>675</v>
      </c>
      <c r="J17" s="392">
        <f>J12</f>
        <v>675</v>
      </c>
      <c r="K17" s="392">
        <f>K12</f>
        <v>675</v>
      </c>
      <c r="L17" s="391">
        <f>L12</f>
        <v>675</v>
      </c>
    </row>
    <row r="18" spans="1:12" ht="12.75">
      <c r="A18" s="390">
        <f>A17+1</f>
        <v>14</v>
      </c>
      <c r="B18" s="378" t="s">
        <v>184</v>
      </c>
      <c r="C18" s="392">
        <v>800</v>
      </c>
      <c r="D18" s="392">
        <v>800</v>
      </c>
      <c r="E18" s="392">
        <v>800</v>
      </c>
      <c r="F18" s="392">
        <v>800</v>
      </c>
      <c r="G18" s="392">
        <v>800</v>
      </c>
      <c r="H18" s="392">
        <v>800</v>
      </c>
      <c r="I18" s="392">
        <v>800</v>
      </c>
      <c r="J18" s="392">
        <v>800</v>
      </c>
      <c r="K18" s="392">
        <v>800</v>
      </c>
      <c r="L18" s="391">
        <v>800</v>
      </c>
    </row>
    <row r="19" spans="1:12" ht="12.75">
      <c r="A19" s="390">
        <f>A18+1</f>
        <v>15</v>
      </c>
      <c r="B19" s="378" t="s">
        <v>183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1">
        <v>0</v>
      </c>
    </row>
    <row r="20" spans="1:12" ht="12.75">
      <c r="A20" s="390">
        <f>A19+1</f>
        <v>16</v>
      </c>
      <c r="B20" s="378" t="s">
        <v>182</v>
      </c>
      <c r="C20" s="392">
        <f>C6*C23</f>
        <v>0</v>
      </c>
      <c r="D20" s="392">
        <f>D6*D23</f>
        <v>145.8356</v>
      </c>
      <c r="E20" s="392">
        <f>E6*E23</f>
        <v>291.67120000000006</v>
      </c>
      <c r="F20" s="392">
        <f>F6*F23</f>
        <v>437.50680000000006</v>
      </c>
      <c r="G20" s="392">
        <f>G6*G23</f>
        <v>583.3424000000001</v>
      </c>
      <c r="H20" s="392">
        <f>H6*H23</f>
        <v>729.178</v>
      </c>
      <c r="I20" s="392">
        <f>I6*I23</f>
        <v>875.0136</v>
      </c>
      <c r="J20" s="392">
        <f>J6*J23</f>
        <v>1020.8492</v>
      </c>
      <c r="K20" s="392">
        <f>K6*K23</f>
        <v>1166.6847999999998</v>
      </c>
      <c r="L20" s="391">
        <f>L6*L23</f>
        <v>1312.5203999999999</v>
      </c>
    </row>
    <row r="21" spans="1:15" ht="12.75">
      <c r="A21" s="390">
        <f>A20+1</f>
        <v>17</v>
      </c>
      <c r="B21" s="395" t="s">
        <v>157</v>
      </c>
      <c r="C21" s="388">
        <f>C16+C17-C18-C19+C20</f>
        <v>791.0799999999999</v>
      </c>
      <c r="D21" s="388">
        <f>D16+D17-D18-D19+D20</f>
        <v>831.53868</v>
      </c>
      <c r="E21" s="388">
        <f>E16+E17-E18-E19+E20</f>
        <v>854.6155999999999</v>
      </c>
      <c r="F21" s="388">
        <f>F16+F17-F18-F19+F20</f>
        <v>853.7926</v>
      </c>
      <c r="G21" s="388">
        <f>G16+G17-G18-G19+G20</f>
        <v>766.0608</v>
      </c>
      <c r="H21" s="388">
        <f>H16+H17-H18-H19+H20</f>
        <v>705.4879999999999</v>
      </c>
      <c r="I21" s="388">
        <f>I16+I17-I18-I19+I20</f>
        <v>590.5972</v>
      </c>
      <c r="J21" s="388">
        <f>J16+J17-J18-J19+J20</f>
        <v>443.1156</v>
      </c>
      <c r="K21" s="388">
        <f>K16+K17-K18-K19+K20</f>
        <v>393.40639999999996</v>
      </c>
      <c r="L21" s="387">
        <f>L16+L17-L18-L19+L20</f>
        <v>343.6972000000003</v>
      </c>
      <c r="M21" s="360"/>
      <c r="N21" s="360"/>
      <c r="O21" s="360"/>
    </row>
    <row r="22" spans="1:15" ht="12.75">
      <c r="A22" s="390">
        <f>A21+1</f>
        <v>18</v>
      </c>
      <c r="B22" s="395" t="s">
        <v>181</v>
      </c>
      <c r="C22" s="388">
        <f>C21</f>
        <v>791.0799999999999</v>
      </c>
      <c r="D22" s="388">
        <f>C22</f>
        <v>791.0799999999999</v>
      </c>
      <c r="E22" s="388">
        <f>D22</f>
        <v>791.0799999999999</v>
      </c>
      <c r="F22" s="388">
        <f>E22</f>
        <v>791.0799999999999</v>
      </c>
      <c r="G22" s="388">
        <f>F22</f>
        <v>791.0799999999999</v>
      </c>
      <c r="H22" s="388">
        <f>G22</f>
        <v>791.0799999999999</v>
      </c>
      <c r="I22" s="388">
        <f>H22</f>
        <v>791.0799999999999</v>
      </c>
      <c r="J22" s="388">
        <f>I22</f>
        <v>791.0799999999999</v>
      </c>
      <c r="K22" s="388">
        <f>J22</f>
        <v>791.0799999999999</v>
      </c>
      <c r="L22" s="387">
        <f>K22</f>
        <v>791.0799999999999</v>
      </c>
      <c r="M22" s="360"/>
      <c r="N22" s="360"/>
      <c r="O22" s="360"/>
    </row>
    <row r="23" spans="1:12" ht="12.75">
      <c r="A23" s="386">
        <f>A22+1</f>
        <v>19</v>
      </c>
      <c r="B23" s="374" t="s">
        <v>180</v>
      </c>
      <c r="C23" s="403">
        <v>0.0886</v>
      </c>
      <c r="D23" s="403">
        <v>0.0886</v>
      </c>
      <c r="E23" s="403">
        <v>0.0886</v>
      </c>
      <c r="F23" s="403">
        <v>0.0886</v>
      </c>
      <c r="G23" s="403">
        <v>0.0886</v>
      </c>
      <c r="H23" s="403">
        <v>0.0886</v>
      </c>
      <c r="I23" s="403">
        <v>0.0886</v>
      </c>
      <c r="J23" s="403">
        <v>0.0886</v>
      </c>
      <c r="K23" s="403">
        <v>0.0886</v>
      </c>
      <c r="L23" s="402">
        <v>0.0886</v>
      </c>
    </row>
    <row r="26" ht="15.75">
      <c r="F26" s="331" t="s">
        <v>194</v>
      </c>
    </row>
    <row r="27" ht="13.5" thickBot="1">
      <c r="B27" s="360" t="s">
        <v>179</v>
      </c>
    </row>
    <row r="28" spans="1:15" ht="13.5" thickBot="1">
      <c r="A28" s="382"/>
      <c r="B28" s="381" t="s">
        <v>170</v>
      </c>
      <c r="C28" s="381">
        <v>0</v>
      </c>
      <c r="D28" s="381">
        <f>C28+0.1</f>
        <v>0.1</v>
      </c>
      <c r="E28" s="381">
        <f>D28+0.1</f>
        <v>0.2</v>
      </c>
      <c r="F28" s="381">
        <f>E28+0.1</f>
        <v>0.30000000000000004</v>
      </c>
      <c r="G28" s="381">
        <f>F28+0.1</f>
        <v>0.4</v>
      </c>
      <c r="H28" s="381">
        <f>G28+0.1</f>
        <v>0.5</v>
      </c>
      <c r="I28" s="381">
        <f>H28+0.1</f>
        <v>0.6</v>
      </c>
      <c r="J28" s="381">
        <f>I28+0.1</f>
        <v>0.7</v>
      </c>
      <c r="K28" s="381">
        <f>J28+0.1</f>
        <v>0.7999999999999999</v>
      </c>
      <c r="L28" s="380">
        <f>K28+0.1</f>
        <v>0.8999999999999999</v>
      </c>
      <c r="M28" s="370"/>
      <c r="N28" s="370"/>
      <c r="O28" s="370"/>
    </row>
    <row r="29" spans="1:12" ht="12.75">
      <c r="A29" s="401">
        <f>A23+1</f>
        <v>20</v>
      </c>
      <c r="B29" s="378" t="s">
        <v>178</v>
      </c>
      <c r="C29" s="400">
        <f>C9*(1+(1-C8)*C5)</f>
        <v>0.94</v>
      </c>
      <c r="D29" s="399">
        <f>D9*(1+(1-D8)*D5)</f>
        <v>1.0089333333333332</v>
      </c>
      <c r="E29" s="399">
        <f>E9*(1+(1-E8)*E5)</f>
        <v>1.0951</v>
      </c>
      <c r="F29" s="399">
        <f>F9*(1+(1-F8)*F5)</f>
        <v>1.2058857142857142</v>
      </c>
      <c r="G29" s="399">
        <f>G9*(1+(1-G8)*G5)</f>
        <v>1.3536</v>
      </c>
      <c r="H29" s="399">
        <f>H9*(1+(1-H8)*H5)</f>
        <v>1.5603999999999998</v>
      </c>
      <c r="I29" s="399">
        <f>I9*(1+(1-I8)*I5)</f>
        <v>1.9416639999999998</v>
      </c>
      <c r="J29" s="399">
        <f>J9*(1+(1-J8)*J5)</f>
        <v>2.634130666666666</v>
      </c>
      <c r="K29" s="399">
        <f>K9*(1+(1-K8)*K5)</f>
        <v>3.951383999999998</v>
      </c>
      <c r="L29" s="398">
        <f>L9*(1+(1-L8)*L5)</f>
        <v>7.902579999999993</v>
      </c>
    </row>
    <row r="30" spans="1:12" ht="12.75">
      <c r="A30" s="390">
        <f>A29+1</f>
        <v>21</v>
      </c>
      <c r="B30" s="378" t="s">
        <v>146</v>
      </c>
      <c r="C30" s="397">
        <v>0.055</v>
      </c>
      <c r="D30" s="397">
        <v>0.055</v>
      </c>
      <c r="E30" s="397">
        <v>0.055</v>
      </c>
      <c r="F30" s="397">
        <v>0.055</v>
      </c>
      <c r="G30" s="397">
        <v>0.055</v>
      </c>
      <c r="H30" s="397">
        <v>0.055</v>
      </c>
      <c r="I30" s="397">
        <v>0.055</v>
      </c>
      <c r="J30" s="397">
        <v>0.055</v>
      </c>
      <c r="K30" s="397">
        <v>0.055</v>
      </c>
      <c r="L30" s="396">
        <v>0.055</v>
      </c>
    </row>
    <row r="31" spans="1:12" ht="14.25">
      <c r="A31" s="390">
        <f>A30+1</f>
        <v>22</v>
      </c>
      <c r="B31" s="378" t="s">
        <v>177</v>
      </c>
      <c r="C31" s="397">
        <v>0.09</v>
      </c>
      <c r="D31" s="397">
        <v>0.09</v>
      </c>
      <c r="E31" s="397">
        <v>0.09</v>
      </c>
      <c r="F31" s="397">
        <v>0.09</v>
      </c>
      <c r="G31" s="397">
        <v>0.09</v>
      </c>
      <c r="H31" s="397">
        <v>0.09</v>
      </c>
      <c r="I31" s="397">
        <v>0.09</v>
      </c>
      <c r="J31" s="397">
        <v>0.09</v>
      </c>
      <c r="K31" s="397">
        <v>0.09</v>
      </c>
      <c r="L31" s="396">
        <v>0.09</v>
      </c>
    </row>
    <row r="32" spans="1:15" ht="12.75">
      <c r="A32" s="390">
        <f>A31+1</f>
        <v>23</v>
      </c>
      <c r="B32" s="395" t="s">
        <v>176</v>
      </c>
      <c r="C32" s="394">
        <f>C31+C30*C29</f>
        <v>0.1417</v>
      </c>
      <c r="D32" s="394">
        <f>D31+D30*D29</f>
        <v>0.14549133333333333</v>
      </c>
      <c r="E32" s="394">
        <f>E31+E30*E29</f>
        <v>0.1502305</v>
      </c>
      <c r="F32" s="394">
        <f>F31+F30*F29</f>
        <v>0.1563237142857143</v>
      </c>
      <c r="G32" s="394">
        <f>G31+G30*G29</f>
        <v>0.16444799999999998</v>
      </c>
      <c r="H32" s="394">
        <f>H31+H30*H29</f>
        <v>0.17582199999999998</v>
      </c>
      <c r="I32" s="394">
        <f>I31+I30*I29</f>
        <v>0.19679152</v>
      </c>
      <c r="J32" s="394">
        <f>J31+J30*J29</f>
        <v>0.23487718666666663</v>
      </c>
      <c r="K32" s="394">
        <f>K31+K30*K29</f>
        <v>0.30732611999999987</v>
      </c>
      <c r="L32" s="393">
        <f>L31+L30*L29</f>
        <v>0.5246418999999997</v>
      </c>
      <c r="M32" s="360"/>
      <c r="N32" s="360"/>
      <c r="O32" s="360"/>
    </row>
    <row r="33" spans="1:15" ht="12.75">
      <c r="A33" s="390">
        <f>A32+1</f>
        <v>24</v>
      </c>
      <c r="B33" s="395" t="s">
        <v>175</v>
      </c>
      <c r="C33" s="394">
        <f>C7*(1-C8)*C4+C32*(1-C4)</f>
        <v>0.1417</v>
      </c>
      <c r="D33" s="394">
        <f>D7*(1-D8)*D4+D32*(1-D4)</f>
        <v>0.1373442</v>
      </c>
      <c r="E33" s="394">
        <f>E7*(1-E8)*E4+E32*(1-E4)</f>
        <v>0.1340444</v>
      </c>
      <c r="F33" s="394">
        <f>F7*(1-F8)*F4+F32*(1-F4)</f>
        <v>0.1321966</v>
      </c>
      <c r="G33" s="394">
        <f>G7*(1-G8)*G4+G32*(1-G4)</f>
        <v>0.1356288</v>
      </c>
      <c r="H33" s="394">
        <f>H7*(1-H8)*H4+H32*(1-H4)</f>
        <v>0.13741099999999998</v>
      </c>
      <c r="I33" s="394">
        <f>I7*(1-I8)*I4+I32*(1-I4)</f>
        <v>0.149046208</v>
      </c>
      <c r="J33" s="394">
        <f>J7*(1-J8)*J4+J32*(1-J4)</f>
        <v>0.167785556</v>
      </c>
      <c r="K33" s="394">
        <f>K7*(1-K8)*K4+K32*(1-K4)</f>
        <v>0.17679482399999996</v>
      </c>
      <c r="L33" s="393">
        <f>L7*(1-L8)*L4+L32*(1-L4)</f>
        <v>0.18579019</v>
      </c>
      <c r="M33" s="360"/>
      <c r="N33" s="360"/>
      <c r="O33" s="360"/>
    </row>
    <row r="34" spans="1:12" ht="12.75">
      <c r="A34" s="390">
        <f>A33+1</f>
        <v>25</v>
      </c>
      <c r="B34" s="378" t="s">
        <v>145</v>
      </c>
      <c r="C34" s="392">
        <f>C22*(1+C23)/(C33-C23)</f>
        <v>16217.884896421847</v>
      </c>
      <c r="D34" s="392">
        <f>D22*(1+D23)/(D33-D23)</f>
        <v>17667.12117544241</v>
      </c>
      <c r="E34" s="392">
        <f>E22*(1+E23)/(E33-E23)</f>
        <v>18949.962767689743</v>
      </c>
      <c r="F34" s="392">
        <f>F22*(1+F23)/(F33-F23)</f>
        <v>19753.138731001956</v>
      </c>
      <c r="G34" s="392">
        <f>G22*(1+G23)/(G33-G23)</f>
        <v>18311.538631646992</v>
      </c>
      <c r="H34" s="392">
        <f>H22*(1+H23)/(H33-H23)</f>
        <v>17642.942943189042</v>
      </c>
      <c r="I34" s="392">
        <f>I22*(1+I23)/(I33-I23)</f>
        <v>14246.876958766376</v>
      </c>
      <c r="J34" s="392">
        <f>J22*(1+J23)/(J33-J23)</f>
        <v>10875.338022505011</v>
      </c>
      <c r="K34" s="392">
        <f>K22*(1+K23)/(K33-K23)</f>
        <v>9764.40168416233</v>
      </c>
      <c r="L34" s="391">
        <f>L22*(1+L23)/(L33-L23)</f>
        <v>8860.664723466432</v>
      </c>
    </row>
    <row r="35" spans="1:15" ht="12.75">
      <c r="A35" s="390">
        <f>A34+1</f>
        <v>26</v>
      </c>
      <c r="B35" s="389" t="s">
        <v>174</v>
      </c>
      <c r="C35" s="388">
        <f>C34-C6</f>
        <v>16217.884896421847</v>
      </c>
      <c r="D35" s="388">
        <f>D34-D6</f>
        <v>16021.121175442411</v>
      </c>
      <c r="E35" s="388">
        <f>E34-E6</f>
        <v>15657.962767689743</v>
      </c>
      <c r="F35" s="388">
        <f>F34-F6</f>
        <v>14815.138731001956</v>
      </c>
      <c r="G35" s="388">
        <f>G34-G6</f>
        <v>11727.538631646992</v>
      </c>
      <c r="H35" s="388">
        <f>H34-H6</f>
        <v>9412.942943189042</v>
      </c>
      <c r="I35" s="388">
        <f>I34-I6</f>
        <v>4370.8769587663755</v>
      </c>
      <c r="J35" s="388">
        <f>J34-J6</f>
        <v>-646.6619774949886</v>
      </c>
      <c r="K35" s="388">
        <f>K34-K6</f>
        <v>-3403.5983158376675</v>
      </c>
      <c r="L35" s="387">
        <f>L34-L6</f>
        <v>-5953.335276533566</v>
      </c>
      <c r="M35" s="360"/>
      <c r="N35" s="360"/>
      <c r="O35" s="360"/>
    </row>
    <row r="36" spans="1:15" ht="12.75">
      <c r="A36" s="386">
        <f>A35+1</f>
        <v>27</v>
      </c>
      <c r="B36" s="385" t="s">
        <v>173</v>
      </c>
      <c r="C36" s="384">
        <f>C21*(1+C23)/(C32-C23)</f>
        <v>16217.884896421847</v>
      </c>
      <c r="D36" s="384">
        <f>D21*(1+D23)/(D32-D23)</f>
        <v>15911.263702403412</v>
      </c>
      <c r="E36" s="384">
        <f>E21*(1+E23)/(E32-E23)</f>
        <v>15095.359313327004</v>
      </c>
      <c r="F36" s="384">
        <f>F21*(1+F23)/(F32-F23)</f>
        <v>13723.975924280583</v>
      </c>
      <c r="G36" s="384">
        <f>G21*(1+G23)/(G32-G23)</f>
        <v>10994.802590444047</v>
      </c>
      <c r="H36" s="384">
        <f>H21*(1+H23)/(H32-H23)</f>
        <v>8805.051899750064</v>
      </c>
      <c r="I36" s="384">
        <f>I21*(1+I23)/(I32-I23)</f>
        <v>5942.463068454904</v>
      </c>
      <c r="J36" s="384">
        <f>J21*(1+J23)/(J32-J23)</f>
        <v>3297.6819772944327</v>
      </c>
      <c r="K36" s="384">
        <f>K21*(1+K23)/(K32-K23)</f>
        <v>1957.983834029517</v>
      </c>
      <c r="L36" s="383">
        <f>L21*(1+L23)/(L32-L23)</f>
        <v>858.0569250799078</v>
      </c>
      <c r="M36" s="360"/>
      <c r="N36" s="360"/>
      <c r="O36" s="360"/>
    </row>
    <row r="37" spans="2:12" ht="13.5" thickBot="1">
      <c r="B37" s="361" t="s">
        <v>172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</row>
    <row r="57" ht="12.75">
      <c r="B57" s="359" t="s">
        <v>171</v>
      </c>
    </row>
    <row r="58" ht="13.5" thickBot="1"/>
    <row r="59" spans="1:15" ht="13.5" thickBot="1">
      <c r="A59" s="382"/>
      <c r="B59" s="381" t="s">
        <v>170</v>
      </c>
      <c r="C59" s="381">
        <v>0</v>
      </c>
      <c r="D59" s="381">
        <f>C59+0.1</f>
        <v>0.1</v>
      </c>
      <c r="E59" s="381">
        <f>D59+0.1</f>
        <v>0.2</v>
      </c>
      <c r="F59" s="381">
        <f>E59+0.1</f>
        <v>0.30000000000000004</v>
      </c>
      <c r="G59" s="381">
        <f>F59+0.1</f>
        <v>0.4</v>
      </c>
      <c r="H59" s="381">
        <f>G59+0.1</f>
        <v>0.5</v>
      </c>
      <c r="I59" s="381">
        <f>H59+0.1</f>
        <v>0.6</v>
      </c>
      <c r="J59" s="381">
        <f>I59+0.1</f>
        <v>0.7</v>
      </c>
      <c r="K59" s="381">
        <f>J59+0.1</f>
        <v>0.7999999999999999</v>
      </c>
      <c r="L59" s="380">
        <f>K59+0.1</f>
        <v>0.8999999999999999</v>
      </c>
      <c r="M59" s="370"/>
      <c r="N59" s="370"/>
      <c r="O59" s="370"/>
    </row>
    <row r="60" spans="1:12" ht="12.75">
      <c r="A60" s="379">
        <v>9</v>
      </c>
      <c r="B60" s="378" t="str">
        <f>B69</f>
        <v>Intereses**</v>
      </c>
      <c r="C60" s="377">
        <f>C69</f>
        <v>0</v>
      </c>
      <c r="D60" s="377">
        <f>D69</f>
        <v>146.66727907404007</v>
      </c>
      <c r="E60" s="377">
        <f>E69</f>
        <v>317.5270990262723</v>
      </c>
      <c r="F60" s="377">
        <f>F69</f>
        <v>521.6516626860189</v>
      </c>
      <c r="G60" s="377">
        <f>G69</f>
        <v>846.7389307367263</v>
      </c>
      <c r="H60" s="377">
        <f>H69</f>
        <v>1134.025353665258</v>
      </c>
      <c r="I60" s="377">
        <f>I69</f>
        <v>1496.9134668381407</v>
      </c>
      <c r="J60" s="377">
        <f>J69</f>
        <v>1905.1625941576337</v>
      </c>
      <c r="K60" s="377">
        <f>K69</f>
        <v>2177.3286790372954</v>
      </c>
      <c r="L60" s="376">
        <f>L69</f>
        <v>2449.4947639169573</v>
      </c>
    </row>
    <row r="61" spans="1:12" ht="12.75">
      <c r="A61" s="379">
        <v>16</v>
      </c>
      <c r="B61" s="378" t="str">
        <f>B76</f>
        <v> + Aumento de deuda</v>
      </c>
      <c r="C61" s="377">
        <f>C76</f>
        <v>0</v>
      </c>
      <c r="D61" s="377">
        <f>D76</f>
        <v>133.96619511298914</v>
      </c>
      <c r="E61" s="377">
        <f>E76</f>
        <v>267.93239022597834</v>
      </c>
      <c r="F61" s="377">
        <f>F76</f>
        <v>401.89858533896756</v>
      </c>
      <c r="G61" s="377">
        <f>G76</f>
        <v>535.8647804519567</v>
      </c>
      <c r="H61" s="377">
        <f>H76</f>
        <v>669.8309755649458</v>
      </c>
      <c r="I61" s="377">
        <f>I76</f>
        <v>803.7971706779349</v>
      </c>
      <c r="J61" s="377">
        <f>J76</f>
        <v>937.763365790924</v>
      </c>
      <c r="K61" s="377">
        <f>K76</f>
        <v>1071.7295609039131</v>
      </c>
      <c r="L61" s="376">
        <f>L76</f>
        <v>1205.6957560169021</v>
      </c>
    </row>
    <row r="62" spans="1:12" ht="12.75">
      <c r="A62" s="375">
        <v>17</v>
      </c>
      <c r="B62" s="374" t="str">
        <f>B77</f>
        <v>CFac</v>
      </c>
      <c r="C62" s="373">
        <f>C77</f>
        <v>791.0799999999999</v>
      </c>
      <c r="D62" s="373">
        <f>D77</f>
        <v>828.2457909241226</v>
      </c>
      <c r="E62" s="373">
        <f>E77</f>
        <v>849.4445048686385</v>
      </c>
      <c r="F62" s="373">
        <f>F77</f>
        <v>848.6884879661951</v>
      </c>
      <c r="G62" s="373">
        <f>G77</f>
        <v>768.0970861657172</v>
      </c>
      <c r="H62" s="373">
        <f>H77</f>
        <v>712.4542421458755</v>
      </c>
      <c r="I62" s="373">
        <f>I77</f>
        <v>601.4250438361197</v>
      </c>
      <c r="J62" s="373">
        <f>J77</f>
        <v>413.3069780635677</v>
      </c>
      <c r="K62" s="373">
        <f>K77</f>
        <v>314.5562218629433</v>
      </c>
      <c r="L62" s="372">
        <f>L77</f>
        <v>207.08556531324632</v>
      </c>
    </row>
    <row r="63" spans="2:12" ht="12.75">
      <c r="B63" s="359" t="s">
        <v>169</v>
      </c>
      <c r="C63" s="364">
        <f>C94</f>
        <v>16217.884896421847</v>
      </c>
      <c r="D63" s="364">
        <f>D94</f>
        <v>16065.312165725041</v>
      </c>
      <c r="E63" s="364">
        <f>E94</f>
        <v>15912.739435028256</v>
      </c>
      <c r="F63" s="364">
        <f>F94</f>
        <v>15760.166704331448</v>
      </c>
      <c r="G63" s="364">
        <f>G94</f>
        <v>15607.593973634659</v>
      </c>
      <c r="H63" s="364">
        <f>H94</f>
        <v>15455.021242937859</v>
      </c>
      <c r="I63" s="364">
        <f>I94</f>
        <v>13974.176729190229</v>
      </c>
      <c r="J63" s="364">
        <f>J94</f>
        <v>11693.909383050854</v>
      </c>
      <c r="K63" s="364">
        <f>K94</f>
        <v>10046.15240979284</v>
      </c>
      <c r="L63" s="364">
        <f>L94</f>
        <v>8401.030896421855</v>
      </c>
    </row>
    <row r="66" ht="12.75">
      <c r="B66" s="371" t="s">
        <v>168</v>
      </c>
    </row>
    <row r="67" spans="1:12" ht="12.75">
      <c r="A67" s="363">
        <f>A36+1</f>
        <v>28</v>
      </c>
      <c r="B67" s="359" t="s">
        <v>167</v>
      </c>
      <c r="C67" s="364">
        <v>2063</v>
      </c>
      <c r="D67" s="364">
        <v>2063</v>
      </c>
      <c r="E67" s="364">
        <v>2063</v>
      </c>
      <c r="F67" s="364">
        <v>2063</v>
      </c>
      <c r="G67" s="364">
        <v>2063</v>
      </c>
      <c r="H67" s="364">
        <v>2063</v>
      </c>
      <c r="I67" s="364">
        <v>2063</v>
      </c>
      <c r="J67" s="364">
        <v>2063</v>
      </c>
      <c r="K67" s="364">
        <v>2063</v>
      </c>
      <c r="L67" s="364">
        <v>2063</v>
      </c>
    </row>
    <row r="68" spans="1:12" ht="12.75">
      <c r="A68" s="363">
        <f>A67+1</f>
        <v>29</v>
      </c>
      <c r="B68" s="359" t="s">
        <v>166</v>
      </c>
      <c r="C68" s="364">
        <v>675</v>
      </c>
      <c r="D68" s="364">
        <v>675</v>
      </c>
      <c r="E68" s="364">
        <v>675</v>
      </c>
      <c r="F68" s="364">
        <v>675</v>
      </c>
      <c r="G68" s="364">
        <v>675</v>
      </c>
      <c r="H68" s="364">
        <v>675</v>
      </c>
      <c r="I68" s="364">
        <v>675</v>
      </c>
      <c r="J68" s="364">
        <v>675</v>
      </c>
      <c r="K68" s="364">
        <v>675</v>
      </c>
      <c r="L68" s="364">
        <v>675</v>
      </c>
    </row>
    <row r="69" spans="1:12" ht="12.75">
      <c r="A69" s="363">
        <f>A68+1</f>
        <v>30</v>
      </c>
      <c r="B69" s="360" t="s">
        <v>165</v>
      </c>
      <c r="C69" s="364">
        <f>C81*C84/(1+C79)</f>
        <v>0</v>
      </c>
      <c r="D69" s="364">
        <f>D81*D84/(1+D79)</f>
        <v>146.66727907404007</v>
      </c>
      <c r="E69" s="364">
        <f>E81*E84/(1+E79)</f>
        <v>317.5270990262723</v>
      </c>
      <c r="F69" s="364">
        <f>F81*F84/(1+F79)</f>
        <v>521.6516626860189</v>
      </c>
      <c r="G69" s="364">
        <f>G81*G84/(1+G79)</f>
        <v>846.7389307367263</v>
      </c>
      <c r="H69" s="364">
        <f>H81*H84/(1+H79)</f>
        <v>1134.025353665258</v>
      </c>
      <c r="I69" s="364">
        <f>I81*I84/(1+I79)</f>
        <v>1496.9134668381407</v>
      </c>
      <c r="J69" s="364">
        <f>J81*J84/(1+J79)</f>
        <v>1905.1625941576337</v>
      </c>
      <c r="K69" s="364">
        <f>K81*K84/(1+K79)</f>
        <v>2177.3286790372954</v>
      </c>
      <c r="L69" s="364">
        <f>L81*L84/(1+L79)</f>
        <v>2449.4947639169573</v>
      </c>
    </row>
    <row r="70" spans="1:12" ht="12.75">
      <c r="A70" s="363">
        <f>A69+1</f>
        <v>31</v>
      </c>
      <c r="B70" s="359" t="s">
        <v>164</v>
      </c>
      <c r="C70" s="364">
        <f>C67-C68-C69</f>
        <v>1388</v>
      </c>
      <c r="D70" s="364">
        <f>D67-D68-D69</f>
        <v>1241.3327209259598</v>
      </c>
      <c r="E70" s="364">
        <f>E67-E68-E69</f>
        <v>1070.4729009737277</v>
      </c>
      <c r="F70" s="364">
        <f>F67-F68-F69</f>
        <v>866.3483373139811</v>
      </c>
      <c r="G70" s="364">
        <f>G67-G68-G69</f>
        <v>541.2610692632737</v>
      </c>
      <c r="H70" s="364">
        <f>H67-H68-H69</f>
        <v>253.97464633474192</v>
      </c>
      <c r="I70" s="364">
        <f>I67-I68-I69</f>
        <v>-108.91346683814072</v>
      </c>
      <c r="J70" s="364">
        <f>J67-J68-J69</f>
        <v>-517.1625941576337</v>
      </c>
      <c r="K70" s="364">
        <f>K67-K68-K69</f>
        <v>-789.3286790372954</v>
      </c>
      <c r="L70" s="364">
        <f>L67-L68-L69</f>
        <v>-1061.4947639169573</v>
      </c>
    </row>
    <row r="71" spans="1:12" ht="12.75">
      <c r="A71" s="363">
        <f>A70+1</f>
        <v>32</v>
      </c>
      <c r="B71" s="359" t="s">
        <v>163</v>
      </c>
      <c r="C71" s="364">
        <f>C70*C8</f>
        <v>471.92</v>
      </c>
      <c r="D71" s="364">
        <f>D70*D8</f>
        <v>422.0531251148264</v>
      </c>
      <c r="E71" s="364">
        <f>E70*E8</f>
        <v>363.9607863310675</v>
      </c>
      <c r="F71" s="364">
        <f>F70*F8</f>
        <v>294.5584346867536</v>
      </c>
      <c r="G71" s="364">
        <f>G70*G8</f>
        <v>184.0287635495131</v>
      </c>
      <c r="H71" s="364">
        <f>H70*H8</f>
        <v>86.35137975381225</v>
      </c>
      <c r="I71" s="362">
        <f>I70*I8</f>
        <v>-31.541339996325554</v>
      </c>
      <c r="J71" s="362">
        <f>J70*J8</f>
        <v>-117.70620643027743</v>
      </c>
      <c r="K71" s="362">
        <f>K70*K8</f>
        <v>-157.15533999632552</v>
      </c>
      <c r="L71" s="362">
        <f>L70*L8</f>
        <v>-187.88457321330142</v>
      </c>
    </row>
    <row r="72" spans="1:15" ht="12.75">
      <c r="A72" s="363">
        <f>A71+1</f>
        <v>33</v>
      </c>
      <c r="B72" s="360" t="s">
        <v>162</v>
      </c>
      <c r="C72" s="362">
        <f>C70-C71</f>
        <v>916.0799999999999</v>
      </c>
      <c r="D72" s="362">
        <f>D70-D71</f>
        <v>819.2795958111335</v>
      </c>
      <c r="E72" s="362">
        <f>E70-E71</f>
        <v>706.5121146426602</v>
      </c>
      <c r="F72" s="362">
        <f>F70-F71</f>
        <v>571.7899026272275</v>
      </c>
      <c r="G72" s="362">
        <f>G70-G71</f>
        <v>357.23230571376064</v>
      </c>
      <c r="H72" s="362">
        <f>H70-H71</f>
        <v>167.62326658092968</v>
      </c>
      <c r="I72" s="362">
        <f>I70-I71</f>
        <v>-77.37212684181517</v>
      </c>
      <c r="J72" s="362">
        <f>J70-J71</f>
        <v>-399.4563877273563</v>
      </c>
      <c r="K72" s="362">
        <f>K70-K71</f>
        <v>-632.1733390409698</v>
      </c>
      <c r="L72" s="362">
        <f>L70-L71</f>
        <v>-873.6101907036558</v>
      </c>
      <c r="M72" s="360"/>
      <c r="N72" s="360"/>
      <c r="O72" s="360"/>
    </row>
    <row r="73" spans="1:12" ht="12.75">
      <c r="A73" s="363">
        <f>A72+1</f>
        <v>34</v>
      </c>
      <c r="B73" s="359" t="s">
        <v>161</v>
      </c>
      <c r="C73" s="364">
        <f>C68</f>
        <v>675</v>
      </c>
      <c r="D73" s="364">
        <f>D68</f>
        <v>675</v>
      </c>
      <c r="E73" s="364">
        <f>E68</f>
        <v>675</v>
      </c>
      <c r="F73" s="364">
        <f>F68</f>
        <v>675</v>
      </c>
      <c r="G73" s="364">
        <f>G68</f>
        <v>675</v>
      </c>
      <c r="H73" s="364">
        <f>H68</f>
        <v>675</v>
      </c>
      <c r="I73" s="364">
        <f>I68</f>
        <v>675</v>
      </c>
      <c r="J73" s="364">
        <f>J68</f>
        <v>675</v>
      </c>
      <c r="K73" s="364">
        <f>K68</f>
        <v>675</v>
      </c>
      <c r="L73" s="364">
        <f>L68</f>
        <v>675</v>
      </c>
    </row>
    <row r="74" spans="1:12" ht="12.75">
      <c r="A74" s="363">
        <f>A73+1</f>
        <v>35</v>
      </c>
      <c r="B74" s="359" t="s">
        <v>160</v>
      </c>
      <c r="C74" s="364">
        <v>800</v>
      </c>
      <c r="D74" s="364">
        <v>800</v>
      </c>
      <c r="E74" s="364">
        <v>800</v>
      </c>
      <c r="F74" s="364">
        <v>800</v>
      </c>
      <c r="G74" s="364">
        <v>800</v>
      </c>
      <c r="H74" s="364">
        <v>800</v>
      </c>
      <c r="I74" s="364">
        <v>800</v>
      </c>
      <c r="J74" s="364">
        <v>800</v>
      </c>
      <c r="K74" s="364">
        <v>800</v>
      </c>
      <c r="L74" s="364">
        <v>800</v>
      </c>
    </row>
    <row r="75" spans="1:12" ht="12.75">
      <c r="A75" s="363">
        <f>A74+1</f>
        <v>36</v>
      </c>
      <c r="B75" s="359" t="s">
        <v>159</v>
      </c>
      <c r="C75" s="364">
        <v>0</v>
      </c>
      <c r="D75" s="364">
        <v>0</v>
      </c>
      <c r="E75" s="364">
        <v>0</v>
      </c>
      <c r="F75" s="364">
        <v>0</v>
      </c>
      <c r="G75" s="364">
        <v>0</v>
      </c>
      <c r="H75" s="364">
        <v>0</v>
      </c>
      <c r="I75" s="364">
        <v>0</v>
      </c>
      <c r="J75" s="364">
        <v>0</v>
      </c>
      <c r="K75" s="364">
        <v>0</v>
      </c>
      <c r="L75" s="364">
        <v>0</v>
      </c>
    </row>
    <row r="76" spans="1:12" ht="12.75">
      <c r="A76" s="363">
        <f>A75+1</f>
        <v>37</v>
      </c>
      <c r="B76" s="359" t="s">
        <v>158</v>
      </c>
      <c r="C76" s="364">
        <f>C81/(1+C79)*C79</f>
        <v>0</v>
      </c>
      <c r="D76" s="364">
        <f>D81/(1+D79)*D79</f>
        <v>133.96619511298914</v>
      </c>
      <c r="E76" s="364">
        <f>E81/(1+E79)*E79</f>
        <v>267.93239022597834</v>
      </c>
      <c r="F76" s="364">
        <f>F81/(1+F79)*F79</f>
        <v>401.89858533896756</v>
      </c>
      <c r="G76" s="364">
        <f>G81/(1+G79)*G79</f>
        <v>535.8647804519567</v>
      </c>
      <c r="H76" s="364">
        <f>H81/(1+H79)*H79</f>
        <v>669.8309755649458</v>
      </c>
      <c r="I76" s="364">
        <f>I81/(1+I79)*I79</f>
        <v>803.7971706779349</v>
      </c>
      <c r="J76" s="364">
        <f>J81/(1+J79)*J79</f>
        <v>937.763365790924</v>
      </c>
      <c r="K76" s="364">
        <f>K81/(1+K79)*K79</f>
        <v>1071.7295609039131</v>
      </c>
      <c r="L76" s="364">
        <f>L81/(1+L79)*L79</f>
        <v>1205.6957560169021</v>
      </c>
    </row>
    <row r="77" spans="1:15" ht="12.75">
      <c r="A77" s="363">
        <f>A76+1</f>
        <v>38</v>
      </c>
      <c r="B77" s="360" t="s">
        <v>157</v>
      </c>
      <c r="C77" s="362">
        <f>C72+C73-C74-C75+C76</f>
        <v>791.0799999999999</v>
      </c>
      <c r="D77" s="362">
        <f>D72+D73-D74-D75+D76</f>
        <v>828.2457909241226</v>
      </c>
      <c r="E77" s="362">
        <f>E72+E73-E74-E75+E76</f>
        <v>849.4445048686385</v>
      </c>
      <c r="F77" s="362">
        <f>F72+F73-F74-F75+F76</f>
        <v>848.6884879661951</v>
      </c>
      <c r="G77" s="362">
        <f>G72+G73-G74-G75+G76</f>
        <v>768.0970861657172</v>
      </c>
      <c r="H77" s="362">
        <f>H72+H73-H74-H75+H76</f>
        <v>712.4542421458755</v>
      </c>
      <c r="I77" s="362">
        <f>I72+I73-I74-I75+I76</f>
        <v>601.4250438361197</v>
      </c>
      <c r="J77" s="362">
        <f>J72+J73-J74-J75+J76</f>
        <v>413.3069780635677</v>
      </c>
      <c r="K77" s="362">
        <f>K72+K73-K74-K75+K76</f>
        <v>314.5562218629433</v>
      </c>
      <c r="L77" s="362">
        <f>L72+L73-L74-L75+L76</f>
        <v>207.08556531324632</v>
      </c>
      <c r="M77" s="360"/>
      <c r="N77" s="360"/>
      <c r="O77" s="360"/>
    </row>
    <row r="78" spans="1:15" ht="12.75">
      <c r="A78" s="363">
        <f>A77+1</f>
        <v>39</v>
      </c>
      <c r="B78" s="360" t="s">
        <v>156</v>
      </c>
      <c r="C78" s="362">
        <f>C77</f>
        <v>791.0799999999999</v>
      </c>
      <c r="D78" s="362">
        <f>C78</f>
        <v>791.0799999999999</v>
      </c>
      <c r="E78" s="362">
        <f>D78</f>
        <v>791.0799999999999</v>
      </c>
      <c r="F78" s="362">
        <f>E78</f>
        <v>791.0799999999999</v>
      </c>
      <c r="G78" s="362">
        <f>F78</f>
        <v>791.0799999999999</v>
      </c>
      <c r="H78" s="362">
        <f>G78</f>
        <v>791.0799999999999</v>
      </c>
      <c r="I78" s="362">
        <f>H78</f>
        <v>791.0799999999999</v>
      </c>
      <c r="J78" s="362">
        <f>I78</f>
        <v>791.0799999999999</v>
      </c>
      <c r="K78" s="362">
        <f>J78</f>
        <v>791.0799999999999</v>
      </c>
      <c r="L78" s="362">
        <f>K78</f>
        <v>791.0799999999999</v>
      </c>
      <c r="M78" s="360"/>
      <c r="N78" s="360"/>
      <c r="O78" s="360"/>
    </row>
    <row r="79" spans="1:12" ht="12.75">
      <c r="A79" s="363">
        <f>A78+1</f>
        <v>40</v>
      </c>
      <c r="B79" s="359" t="s">
        <v>155</v>
      </c>
      <c r="C79" s="369">
        <v>0.0886</v>
      </c>
      <c r="D79" s="369">
        <v>0.0886</v>
      </c>
      <c r="E79" s="369">
        <v>0.0886</v>
      </c>
      <c r="F79" s="369">
        <v>0.0886</v>
      </c>
      <c r="G79" s="369">
        <v>0.0886</v>
      </c>
      <c r="H79" s="369">
        <v>0.0886</v>
      </c>
      <c r="I79" s="369">
        <v>0.0886</v>
      </c>
      <c r="J79" s="369">
        <v>0.0886</v>
      </c>
      <c r="K79" s="369">
        <v>0.0886</v>
      </c>
      <c r="L79" s="369">
        <v>0.0886</v>
      </c>
    </row>
    <row r="81" spans="1:12" ht="12.75">
      <c r="A81" s="363">
        <f>A79+1</f>
        <v>41</v>
      </c>
      <c r="B81" s="359" t="s">
        <v>154</v>
      </c>
      <c r="C81" s="359">
        <f>C6</f>
        <v>0</v>
      </c>
      <c r="D81" s="359">
        <f>D6</f>
        <v>1646</v>
      </c>
      <c r="E81" s="359">
        <f>E6</f>
        <v>3292.0000000000005</v>
      </c>
      <c r="F81" s="359">
        <f>F6</f>
        <v>4938.000000000001</v>
      </c>
      <c r="G81" s="359">
        <f>G6</f>
        <v>6584.000000000001</v>
      </c>
      <c r="H81" s="359">
        <f>H6</f>
        <v>8230</v>
      </c>
      <c r="I81" s="359">
        <f>I6</f>
        <v>9876</v>
      </c>
      <c r="J81" s="359">
        <f>J6</f>
        <v>11522</v>
      </c>
      <c r="K81" s="359">
        <f>K6</f>
        <v>13167.999999999998</v>
      </c>
      <c r="L81" s="359">
        <f>L6</f>
        <v>14813.999999999998</v>
      </c>
    </row>
    <row r="82" spans="1:15" ht="12.75">
      <c r="A82" s="363">
        <f>A81+1</f>
        <v>42</v>
      </c>
      <c r="B82" s="370" t="s">
        <v>153</v>
      </c>
      <c r="C82" s="370">
        <f>C81/(C81+C94)</f>
        <v>0</v>
      </c>
      <c r="D82" s="370">
        <f>D81/(D81+D94)</f>
        <v>0.09293495505010305</v>
      </c>
      <c r="E82" s="370">
        <f>E81/(E81+E94)</f>
        <v>0.1714160200474054</v>
      </c>
      <c r="F82" s="370">
        <f>F81/(F81+F94)</f>
        <v>0.2385718537558517</v>
      </c>
      <c r="G82" s="370">
        <f>G81/(G81+G94)</f>
        <v>0.29668891778672163</v>
      </c>
      <c r="H82" s="370">
        <f>H81/(H81+H94)</f>
        <v>0.3474769946619293</v>
      </c>
      <c r="I82" s="370">
        <f>I81/(I81+I94)</f>
        <v>0.4140849819327655</v>
      </c>
      <c r="J82" s="370">
        <f>J81/(J81+J94)</f>
        <v>0.4962975953210698</v>
      </c>
      <c r="K82" s="370">
        <f>K81/(K81+K94)</f>
        <v>0.5672401803670897</v>
      </c>
      <c r="L82" s="370">
        <f>L81/(L81+L94)</f>
        <v>0.6381210546776954</v>
      </c>
      <c r="M82" s="370"/>
      <c r="N82" s="370"/>
      <c r="O82" s="370"/>
    </row>
    <row r="83" spans="1:15" ht="12.75">
      <c r="A83" s="363">
        <f>A82+1</f>
        <v>43</v>
      </c>
      <c r="B83" s="368" t="s">
        <v>152</v>
      </c>
      <c r="C83" s="368">
        <f>C82/(1-C82)</f>
        <v>0</v>
      </c>
      <c r="D83" s="368">
        <f>D82/(1-D82)</f>
        <v>0.10245677040199079</v>
      </c>
      <c r="E83" s="368">
        <f>E82/(1-E82)</f>
        <v>0.20687826966822667</v>
      </c>
      <c r="F83" s="368">
        <f>F82/(1-F82)</f>
        <v>0.3133215588793782</v>
      </c>
      <c r="G83" s="368">
        <f>G82/(1-G82)</f>
        <v>0.4218459303286664</v>
      </c>
      <c r="H83" s="368">
        <f>H82/(1-H82)</f>
        <v>0.5325130176550668</v>
      </c>
      <c r="I83" s="368">
        <f>I82/(1-I82)</f>
        <v>0.7067321525546708</v>
      </c>
      <c r="J83" s="368">
        <f>J82/(1-J82)</f>
        <v>0.985299237627066</v>
      </c>
      <c r="K83" s="368">
        <f>K82/(1-K82)</f>
        <v>1.3107505702545414</v>
      </c>
      <c r="L83" s="368">
        <f>L82/(1-L82)</f>
        <v>1.7633550194785663</v>
      </c>
      <c r="M83" s="368"/>
      <c r="N83" s="368"/>
      <c r="O83" s="368"/>
    </row>
    <row r="84" spans="1:15" ht="12.75">
      <c r="A84" s="363">
        <f>A83+1</f>
        <v>44</v>
      </c>
      <c r="B84" s="369" t="s">
        <v>151</v>
      </c>
      <c r="C84" s="369">
        <f>C7</f>
        <v>0.097</v>
      </c>
      <c r="D84" s="369">
        <f>D7</f>
        <v>0.097</v>
      </c>
      <c r="E84" s="369">
        <f>E7</f>
        <v>0.105</v>
      </c>
      <c r="F84" s="369">
        <f>F7</f>
        <v>0.115</v>
      </c>
      <c r="G84" s="369">
        <f>G7</f>
        <v>0.14</v>
      </c>
      <c r="H84" s="369">
        <f>H7</f>
        <v>0.15</v>
      </c>
      <c r="I84" s="369">
        <f>I7</f>
        <v>0.165</v>
      </c>
      <c r="J84" s="369">
        <f>J7</f>
        <v>0.18</v>
      </c>
      <c r="K84" s="369">
        <f>K7</f>
        <v>0.18</v>
      </c>
      <c r="L84" s="369">
        <f>L7</f>
        <v>0.18</v>
      </c>
      <c r="M84" s="369"/>
      <c r="N84" s="369"/>
      <c r="O84" s="369"/>
    </row>
    <row r="85" spans="1:12" ht="12.75">
      <c r="A85" s="363">
        <f>A84+1</f>
        <v>45</v>
      </c>
      <c r="B85" s="359" t="s">
        <v>150</v>
      </c>
      <c r="C85" s="368">
        <f>C8</f>
        <v>0.34</v>
      </c>
      <c r="D85" s="368">
        <f>D8</f>
        <v>0.34</v>
      </c>
      <c r="E85" s="368">
        <f>E8</f>
        <v>0.34</v>
      </c>
      <c r="F85" s="368">
        <f>F8</f>
        <v>0.34</v>
      </c>
      <c r="G85" s="368">
        <f>G8</f>
        <v>0.34</v>
      </c>
      <c r="H85" s="368">
        <f>H8</f>
        <v>0.34</v>
      </c>
      <c r="I85" s="367">
        <f>I8</f>
        <v>0.2896</v>
      </c>
      <c r="J85" s="367">
        <f>J8</f>
        <v>0.2276</v>
      </c>
      <c r="K85" s="367">
        <f>K8</f>
        <v>0.1991</v>
      </c>
      <c r="L85" s="367">
        <f>L8</f>
        <v>0.177</v>
      </c>
    </row>
    <row r="86" spans="1:12" ht="12.75">
      <c r="A86" s="363">
        <f>A85+1</f>
        <v>46</v>
      </c>
      <c r="B86" s="359" t="s">
        <v>149</v>
      </c>
      <c r="C86" s="359">
        <v>0.94</v>
      </c>
      <c r="D86" s="359">
        <v>0.94</v>
      </c>
      <c r="E86" s="359">
        <v>0.94</v>
      </c>
      <c r="F86" s="359">
        <v>0.94</v>
      </c>
      <c r="G86" s="359">
        <v>0.94</v>
      </c>
      <c r="H86" s="359">
        <v>0.94</v>
      </c>
      <c r="I86" s="359">
        <v>0.94</v>
      </c>
      <c r="J86" s="359">
        <v>0.94</v>
      </c>
      <c r="K86" s="359">
        <v>0.94</v>
      </c>
      <c r="L86" s="359">
        <v>0.94</v>
      </c>
    </row>
    <row r="87" spans="1:12" ht="12.75">
      <c r="A87" s="363">
        <f>A86+1</f>
        <v>47</v>
      </c>
      <c r="B87" s="359" t="s">
        <v>148</v>
      </c>
      <c r="C87" s="359">
        <f>(C84-C31)/C30</f>
        <v>0.1272727272727274</v>
      </c>
      <c r="D87" s="359">
        <f>(D84-D31)/D30</f>
        <v>0.1272727272727274</v>
      </c>
      <c r="E87" s="359">
        <f>(E84-E31)/E30</f>
        <v>0.2727272727272727</v>
      </c>
      <c r="F87" s="359">
        <f>(F84-F31)/F30</f>
        <v>0.4545454545454547</v>
      </c>
      <c r="G87" s="359">
        <f>(G84-G31)/G30</f>
        <v>0.9090909090909094</v>
      </c>
      <c r="H87" s="359">
        <f>(H84-H31)/H30</f>
        <v>1.0909090909090908</v>
      </c>
      <c r="I87" s="359">
        <f>(I84-I31)/I30</f>
        <v>1.3636363636363638</v>
      </c>
      <c r="J87" s="359">
        <f>(J84-J31)/J30</f>
        <v>1.6363636363636362</v>
      </c>
      <c r="K87" s="359">
        <f>(K84-K31)/K30</f>
        <v>1.6363636363636362</v>
      </c>
      <c r="L87" s="359">
        <f>(L84-L31)/L30</f>
        <v>1.6363636363636362</v>
      </c>
    </row>
    <row r="88" spans="1:12" ht="12.75">
      <c r="A88" s="363">
        <f>A87+1</f>
        <v>48</v>
      </c>
      <c r="B88" s="359" t="s">
        <v>147</v>
      </c>
      <c r="C88" s="359">
        <f>C86*(1+(1-C85)*C83)-C87*C83*(1-C85)</f>
        <v>0.94</v>
      </c>
      <c r="D88" s="359">
        <f>D86*(1+(1-D85)*D83)-D87*D83*(1-D85)</f>
        <v>0.994957811643628</v>
      </c>
      <c r="E88" s="359">
        <f>E86*(1+(1-E85)*E83)-E87*E83*(1-E85)</f>
        <v>1.031109189961887</v>
      </c>
      <c r="F88" s="359">
        <f>F86*(1+(1-F85)*F83)-F87*F83*(1-F85)</f>
        <v>1.0403882274649527</v>
      </c>
      <c r="G88" s="359">
        <f>G86*(1+(1-G85)*G83)-G87*G83*(1-G85)</f>
        <v>0.9486056569787047</v>
      </c>
      <c r="H88" s="359">
        <f>H86*(1+(1-H85)*H83)-H87*H83*(1-H85)</f>
        <v>0.8869617034415554</v>
      </c>
      <c r="I88" s="359">
        <f>I86*(1+(1-I85)*I83)-I87*I83*(1-I85)</f>
        <v>0.7273080592113864</v>
      </c>
      <c r="J88" s="359">
        <f>J86*(1+(1-J85)*J83)-J87*J83*(1-J85)</f>
        <v>0.41003584504031876</v>
      </c>
      <c r="K88" s="359">
        <f>K86*(1+(1-K85)*K83)-K87*K83*(1-K85)</f>
        <v>0.2089712900953491</v>
      </c>
      <c r="L88" s="359">
        <f>L86*(1+(1-L85)*L83)-L87*L83*(1-L85)</f>
        <v>-0.07059158606330795</v>
      </c>
    </row>
    <row r="89" spans="1:12" ht="12.75">
      <c r="A89" s="363">
        <f>A88+1</f>
        <v>49</v>
      </c>
      <c r="B89" s="359" t="s">
        <v>146</v>
      </c>
      <c r="C89" s="366">
        <v>0.055</v>
      </c>
      <c r="D89" s="366">
        <v>0.055</v>
      </c>
      <c r="E89" s="366">
        <v>0.055</v>
      </c>
      <c r="F89" s="366">
        <v>0.055</v>
      </c>
      <c r="G89" s="366">
        <v>0.055</v>
      </c>
      <c r="H89" s="366">
        <v>0.055</v>
      </c>
      <c r="I89" s="366">
        <v>0.055</v>
      </c>
      <c r="J89" s="366">
        <v>0.055</v>
      </c>
      <c r="K89" s="366">
        <v>0.055</v>
      </c>
      <c r="L89" s="366">
        <v>0.055</v>
      </c>
    </row>
    <row r="90" spans="1:12" ht="12.75">
      <c r="A90" s="363">
        <f>A89+1</f>
        <v>50</v>
      </c>
      <c r="B90" s="359" t="s">
        <v>91</v>
      </c>
      <c r="C90" s="366">
        <v>0.09</v>
      </c>
      <c r="D90" s="366">
        <v>0.09</v>
      </c>
      <c r="E90" s="366">
        <v>0.09</v>
      </c>
      <c r="F90" s="366">
        <v>0.09</v>
      </c>
      <c r="G90" s="366">
        <v>0.09</v>
      </c>
      <c r="H90" s="366">
        <v>0.09</v>
      </c>
      <c r="I90" s="366">
        <v>0.09</v>
      </c>
      <c r="J90" s="366">
        <v>0.09</v>
      </c>
      <c r="K90" s="366">
        <v>0.09</v>
      </c>
      <c r="L90" s="366">
        <v>0.09</v>
      </c>
    </row>
    <row r="91" spans="1:15" ht="12.75">
      <c r="A91" s="363">
        <f>A90+1</f>
        <v>51</v>
      </c>
      <c r="B91" s="360" t="s">
        <v>48</v>
      </c>
      <c r="C91" s="365">
        <f>C90+C89*C88</f>
        <v>0.1417</v>
      </c>
      <c r="D91" s="365">
        <f>D90+D89*D88</f>
        <v>0.14472267964039953</v>
      </c>
      <c r="E91" s="365">
        <f>E90+E89*E88</f>
        <v>0.14671100544790378</v>
      </c>
      <c r="F91" s="365">
        <f>F90+F89*F88</f>
        <v>0.1472213525105724</v>
      </c>
      <c r="G91" s="365">
        <f>G90+G89*G88</f>
        <v>0.14217331113382875</v>
      </c>
      <c r="H91" s="365">
        <f>H90+H89*H88</f>
        <v>0.13878289368928554</v>
      </c>
      <c r="I91" s="365">
        <f>I90+I89*I88</f>
        <v>0.13000194325662626</v>
      </c>
      <c r="J91" s="365">
        <f>J90+J89*J88</f>
        <v>0.11255197147721753</v>
      </c>
      <c r="K91" s="365">
        <f>K90+K89*K88</f>
        <v>0.10149342095524419</v>
      </c>
      <c r="L91" s="365">
        <f>L90+L89*L88</f>
        <v>0.08611746276651806</v>
      </c>
      <c r="M91" s="360"/>
      <c r="N91" s="360"/>
      <c r="O91" s="360"/>
    </row>
    <row r="92" spans="1:15" ht="12.75">
      <c r="A92" s="363">
        <f>A91+1</f>
        <v>52</v>
      </c>
      <c r="B92" s="360" t="s">
        <v>29</v>
      </c>
      <c r="C92" s="365">
        <f>C84*(1-C85)*C82+C91*(1-C82)</f>
        <v>0.1417</v>
      </c>
      <c r="D92" s="365">
        <f>D84*(1-D85)*D82+D91*(1-D82)</f>
        <v>0.13722257973559612</v>
      </c>
      <c r="E92" s="365">
        <f>E84*(1-E85)*E82+E91*(1-E82)</f>
        <v>0.13344151898615608</v>
      </c>
      <c r="F92" s="365">
        <f>F84*(1-F85)*F82+F91*(1-F82)</f>
        <v>0.13020608522975058</v>
      </c>
      <c r="G92" s="365">
        <f>G84*(1-G85)*G82+G91*(1-G82)</f>
        <v>0.12740612131887133</v>
      </c>
      <c r="H92" s="365">
        <f>H84*(1-H85)*H82+H91*(1-H82)</f>
        <v>0.12495925335117755</v>
      </c>
      <c r="I92" s="365">
        <f>I84*(1-I85)*I82+I91*(1-I82)</f>
        <v>0.12470747617421282</v>
      </c>
      <c r="J92" s="365">
        <f>J84*(1-J85)*J82+J91*(1-J82)</f>
        <v>0.1256939459571078</v>
      </c>
      <c r="K92" s="365">
        <f>K84*(1-K85)*K82+K91*(1-K82)</f>
        <v>0.1256967534285989</v>
      </c>
      <c r="L92" s="365">
        <f>L84*(1-L85)*L82+L91*(1-L82)</f>
        <v>0.1256953496397342</v>
      </c>
      <c r="M92" s="360"/>
      <c r="N92" s="360"/>
      <c r="O92" s="360"/>
    </row>
    <row r="93" spans="1:12" ht="12.75">
      <c r="A93" s="363">
        <f>A92+1</f>
        <v>53</v>
      </c>
      <c r="B93" s="359" t="s">
        <v>145</v>
      </c>
      <c r="C93" s="364">
        <f>C78*(1+C23)/(C92-C23)</f>
        <v>16217.884896421847</v>
      </c>
      <c r="D93" s="364">
        <f>D78*(1+D23)/(D92-D23)</f>
        <v>17711.312165725052</v>
      </c>
      <c r="E93" s="364">
        <f>E78*(1+E23)/(E92-E23)</f>
        <v>19204.739435028256</v>
      </c>
      <c r="F93" s="364">
        <f>F78*(1+F23)/(F92-F23)</f>
        <v>20698.16670433145</v>
      </c>
      <c r="G93" s="364">
        <f>G78*(1+G23)/(G92-G23)</f>
        <v>22191.593973634644</v>
      </c>
      <c r="H93" s="364">
        <f>H78*(1+H23)/(H92-H23)</f>
        <v>23685.02124293786</v>
      </c>
      <c r="I93" s="364">
        <f>I78*(1+I23)/(I92-I23)</f>
        <v>23850.17672919019</v>
      </c>
      <c r="J93" s="364">
        <f>J78*(1+J23)/(J92-J23)</f>
        <v>23215.90938305084</v>
      </c>
      <c r="K93" s="364">
        <f>K78*(1+K23)/(K92-K23)</f>
        <v>23214.152409792838</v>
      </c>
      <c r="L93" s="364">
        <f>L78*(1+L23)/(L92-L23)</f>
        <v>23215.030896421835</v>
      </c>
    </row>
    <row r="94" spans="1:15" ht="12.75">
      <c r="A94" s="363">
        <f>A93+1</f>
        <v>54</v>
      </c>
      <c r="B94" s="360" t="s">
        <v>144</v>
      </c>
      <c r="C94" s="362">
        <f>C93-C81</f>
        <v>16217.884896421847</v>
      </c>
      <c r="D94" s="362">
        <f>D93-D81</f>
        <v>16065.312165725052</v>
      </c>
      <c r="E94" s="362">
        <f>E93-E81</f>
        <v>15912.739435028256</v>
      </c>
      <c r="F94" s="362">
        <f>F93-F81</f>
        <v>15760.166704331448</v>
      </c>
      <c r="G94" s="362">
        <f>G93-G81</f>
        <v>15607.593973634644</v>
      </c>
      <c r="H94" s="362">
        <f>H93-H81</f>
        <v>15455.021242937859</v>
      </c>
      <c r="I94" s="362">
        <f>I93-I81</f>
        <v>13974.176729190189</v>
      </c>
      <c r="J94" s="362">
        <f>J93-J81</f>
        <v>11693.90938305084</v>
      </c>
      <c r="K94" s="362">
        <f>K93-K81</f>
        <v>10046.15240979284</v>
      </c>
      <c r="L94" s="362">
        <f>L93-L81</f>
        <v>8401.030896421837</v>
      </c>
      <c r="M94" s="360"/>
      <c r="N94" s="360"/>
      <c r="O94" s="360"/>
    </row>
    <row r="97" spans="2:12" ht="13.5" thickBot="1"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Pablo Fernández</cp:lastModifiedBy>
  <dcterms:created xsi:type="dcterms:W3CDTF">2000-12-26T18:03:26Z</dcterms:created>
  <dcterms:modified xsi:type="dcterms:W3CDTF">2015-05-27T09:36:33Z</dcterms:modified>
  <cp:category/>
  <cp:version/>
  <cp:contentType/>
  <cp:contentStatus/>
</cp:coreProperties>
</file>