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0380" activeTab="0"/>
  </bookViews>
  <sheets>
    <sheet name="1Incongruencia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<sst xmlns="http://schemas.openxmlformats.org/spreadsheetml/2006/main" count="122" uniqueCount="102">
  <si>
    <t>FCF</t>
  </si>
  <si>
    <t>Ke</t>
  </si>
  <si>
    <t>WACC</t>
  </si>
  <si>
    <t>T</t>
  </si>
  <si>
    <t>2003-2008</t>
  </si>
  <si>
    <t>g</t>
  </si>
  <si>
    <t>Implicit Ke in a WACC of 10%</t>
  </si>
  <si>
    <t>E market</t>
  </si>
  <si>
    <t>WACC=</t>
  </si>
  <si>
    <t>D/(D+E)</t>
  </si>
  <si>
    <t>Equity value (E)</t>
  </si>
  <si>
    <t>Debt value (D)</t>
  </si>
  <si>
    <t>∆D =  ECF - FCF + Int (1-T)</t>
  </si>
  <si>
    <t>D</t>
  </si>
  <si>
    <t>Kd</t>
  </si>
  <si>
    <t>Intereses</t>
  </si>
  <si>
    <t>WACC using lines 4,5,6,8,10</t>
  </si>
  <si>
    <t>CFac</t>
  </si>
  <si>
    <t>E = VA(CFac; Ke)</t>
  </si>
  <si>
    <t xml:space="preserve">usando WACC </t>
  </si>
  <si>
    <t>Valor terminal</t>
  </si>
  <si>
    <t>Valor actual en 2002:</t>
  </si>
  <si>
    <t>Suma</t>
  </si>
  <si>
    <t>WACC utilizado en la valoración</t>
  </si>
  <si>
    <t>Valor de las acciones</t>
  </si>
  <si>
    <t>Menos deuda</t>
  </si>
  <si>
    <t>diferencia</t>
  </si>
  <si>
    <t>Minus debt</t>
  </si>
  <si>
    <t>Sum</t>
  </si>
  <si>
    <t>2003-2010</t>
  </si>
  <si>
    <t>Ke implícita en el WACC de la línea 12</t>
  </si>
  <si>
    <t>WACC calculado con 4,5,6,8,10</t>
  </si>
  <si>
    <t>Deuda (D)</t>
  </si>
  <si>
    <t>Valor de las acciones (E)</t>
  </si>
  <si>
    <t>Effective tax rate</t>
  </si>
  <si>
    <t>Interest expenses</t>
  </si>
  <si>
    <t>ECF</t>
  </si>
  <si>
    <t>PV of Valor terminal with 12</t>
  </si>
  <si>
    <t>PV of FCF with 12</t>
  </si>
  <si>
    <t>discount factor in 12</t>
  </si>
  <si>
    <t>BIEN HECHO:</t>
  </si>
  <si>
    <t>Equity value</t>
  </si>
  <si>
    <t>Menos deuda debt</t>
  </si>
  <si>
    <t>Más caja</t>
  </si>
  <si>
    <t>Valor de la empresa</t>
  </si>
  <si>
    <t xml:space="preserve">  Valor residual en 2007</t>
  </si>
  <si>
    <t xml:space="preserve">  2003-2007</t>
  </si>
  <si>
    <r>
      <t>Valor actual en 2002</t>
    </r>
    <r>
      <rPr>
        <sz val="9"/>
        <color indexed="17"/>
        <rFont val="Times"/>
        <family val="1"/>
      </rPr>
      <t xml:space="preserve"> </t>
    </r>
    <r>
      <rPr>
        <sz val="9"/>
        <rFont val="Times"/>
        <family val="1"/>
      </rPr>
      <t>de los FCFs (WACC =12%)</t>
    </r>
  </si>
  <si>
    <t>Valor residual en 2007 (WACC 12% y crecimiento residual 2’5%)</t>
  </si>
  <si>
    <t>FCFs</t>
  </si>
  <si>
    <t>Inversiones en NOF</t>
  </si>
  <si>
    <t>Inversiones en activos fijos</t>
  </si>
  <si>
    <t>Amortización</t>
  </si>
  <si>
    <t>NOPAT = BFOu</t>
  </si>
  <si>
    <t>$millones</t>
  </si>
  <si>
    <t>línea</t>
  </si>
  <si>
    <t>Total EV (Enterprise Value)</t>
  </si>
  <si>
    <r>
      <t xml:space="preserve">Valor actual en 2002 de </t>
    </r>
    <r>
      <rPr>
        <sz val="9"/>
        <rFont val="Times"/>
        <family val="1"/>
      </rPr>
      <t>los FCFs:</t>
    </r>
  </si>
  <si>
    <t xml:space="preserve"> =196 x 1,025 / (0,12 – 0,025) </t>
  </si>
  <si>
    <t>Valor residual en 2007</t>
  </si>
  <si>
    <t xml:space="preserve"> FCF 2007 normativo</t>
  </si>
  <si>
    <t>Media geométrica 1995-2002</t>
  </si>
  <si>
    <t>Media aritmética 1995-2002</t>
  </si>
  <si>
    <t>Crecimiento anual</t>
  </si>
  <si>
    <t>EBITDA</t>
  </si>
  <si>
    <t>9,0x</t>
  </si>
  <si>
    <t>6,8x</t>
  </si>
  <si>
    <t>Mediana</t>
  </si>
  <si>
    <t>9,1x</t>
  </si>
  <si>
    <t>7,1x</t>
  </si>
  <si>
    <t>Media</t>
  </si>
  <si>
    <t>8,3x</t>
  </si>
  <si>
    <t>5,5x</t>
  </si>
  <si>
    <t>Eridania Béghin-Say/American Maize products</t>
  </si>
  <si>
    <t>na</t>
  </si>
  <si>
    <t>7,3x</t>
  </si>
  <si>
    <t>Corn Product International/Arcancia CPC</t>
  </si>
  <si>
    <t>10,3x</t>
  </si>
  <si>
    <t>7,5x</t>
  </si>
  <si>
    <t>Primor Inversiones/Mavesa</t>
  </si>
  <si>
    <t>8,2x</t>
  </si>
  <si>
    <t>4,0x</t>
  </si>
  <si>
    <t>Land O'Lakes/Purina Mills</t>
  </si>
  <si>
    <t>12,1x</t>
  </si>
  <si>
    <t>Cargill/Cerestar</t>
  </si>
  <si>
    <t>9,6x</t>
  </si>
  <si>
    <t>6,3x</t>
  </si>
  <si>
    <t>Bunge/Cereol</t>
  </si>
  <si>
    <t>EV/EBIT</t>
  </si>
  <si>
    <t>EV/EBITDA</t>
  </si>
  <si>
    <t>Fecha</t>
  </si>
  <si>
    <r>
      <t>Adquiriente/O</t>
    </r>
    <r>
      <rPr>
        <b/>
        <sz val="9"/>
        <color indexed="57"/>
        <rFont val="Times"/>
        <family val="1"/>
      </rPr>
      <t>bjetivo</t>
    </r>
  </si>
  <si>
    <t>Menos: deuda financiera</t>
  </si>
  <si>
    <t>Más: exceso de tesorería</t>
  </si>
  <si>
    <r>
      <t xml:space="preserve">PER por </t>
    </r>
    <r>
      <rPr>
        <sz val="9"/>
        <rFont val="Times"/>
        <family val="1"/>
      </rPr>
      <t>beneficio neto</t>
    </r>
  </si>
  <si>
    <t>PER supuesto</t>
  </si>
  <si>
    <t>Valor esperado del beneficio del próximo año</t>
  </si>
  <si>
    <r>
      <t>VAN (</t>
    </r>
    <r>
      <rPr>
        <sz val="8"/>
        <color indexed="8"/>
        <rFont val="Times"/>
        <family val="1"/>
      </rPr>
      <t>Valor actual neto)</t>
    </r>
  </si>
  <si>
    <t>Valor residual</t>
  </si>
  <si>
    <t>($ millones) en términos nominales</t>
  </si>
  <si>
    <t>Crecimiento</t>
  </si>
  <si>
    <t>Volatilidad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</si>
</sst>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d/m/yy\ h:mm"/>
    <numFmt numFmtId="189" formatCode="0.000000"/>
    <numFmt numFmtId="190" formatCode="0.0000%"/>
    <numFmt numFmtId="191" formatCode="0.0000"/>
    <numFmt numFmtId="192" formatCode="0.0000000"/>
    <numFmt numFmtId="193" formatCode="0.000%"/>
    <numFmt numFmtId="194" formatCode="#,##0.0"/>
    <numFmt numFmtId="195" formatCode="0.0%"/>
    <numFmt numFmtId="196" formatCode="#,##0.0&quot;Pts&quot;;[Red]\-#,##0.0&quot;Pts&quot;"/>
    <numFmt numFmtId="197" formatCode="0.000"/>
    <numFmt numFmtId="198" formatCode="#,##0.000"/>
    <numFmt numFmtId="199" formatCode="#,##0.0000"/>
    <numFmt numFmtId="200" formatCode="0.0"/>
    <numFmt numFmtId="201" formatCode="#,##0.00000000000"/>
    <numFmt numFmtId="202" formatCode="#,##0.0000000000"/>
    <numFmt numFmtId="203" formatCode="#,##0.000000000"/>
    <numFmt numFmtId="204" formatCode="0.000000%"/>
    <numFmt numFmtId="205" formatCode="#,##0.00000"/>
    <numFmt numFmtId="206" formatCode="0.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  <numFmt numFmtId="212" formatCode="0.00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%"/>
    <numFmt numFmtId="223" formatCode="#,##0.000000000000"/>
    <numFmt numFmtId="224" formatCode="0.00_ ;[Red]\-0.00\ "/>
  </numFmts>
  <fonts count="57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b/>
      <sz val="9"/>
      <color indexed="8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17"/>
      <name val="Times"/>
      <family val="1"/>
    </font>
    <font>
      <b/>
      <sz val="9"/>
      <name val="Times"/>
      <family val="1"/>
    </font>
    <font>
      <b/>
      <sz val="9"/>
      <color indexed="57"/>
      <name val="Times"/>
      <family val="1"/>
    </font>
    <font>
      <i/>
      <sz val="10"/>
      <name val="Arial"/>
      <family val="0"/>
    </font>
    <font>
      <i/>
      <sz val="8"/>
      <color indexed="8"/>
      <name val="Times"/>
      <family val="1"/>
    </font>
    <font>
      <b/>
      <sz val="10"/>
      <color indexed="8"/>
      <name val="Times"/>
      <family val="1"/>
    </font>
    <font>
      <sz val="8"/>
      <color indexed="8"/>
      <name val="Times"/>
      <family val="1"/>
    </font>
    <font>
      <b/>
      <sz val="10"/>
      <name val="Arial"/>
      <family val="2"/>
    </font>
    <font>
      <b/>
      <sz val="8"/>
      <color indexed="8"/>
      <name val="Times"/>
      <family val="1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10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95" fontId="0" fillId="0" borderId="1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/>
    </xf>
    <xf numFmtId="1" fontId="0" fillId="0" borderId="10" xfId="57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95" fontId="0" fillId="0" borderId="10" xfId="57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0" fontId="0" fillId="0" borderId="10" xfId="57" applyNumberFormat="1" applyFont="1" applyBorder="1" applyAlignment="1">
      <alignment horizontal="left"/>
    </xf>
    <xf numFmtId="10" fontId="0" fillId="0" borderId="0" xfId="57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9" fontId="0" fillId="0" borderId="0" xfId="57" applyFont="1" applyBorder="1" applyAlignment="1">
      <alignment horizontal="right"/>
    </xf>
    <xf numFmtId="194" fontId="0" fillId="0" borderId="1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95" fontId="0" fillId="0" borderId="10" xfId="0" applyNumberFormat="1" applyBorder="1" applyAlignment="1">
      <alignment/>
    </xf>
    <xf numFmtId="10" fontId="0" fillId="0" borderId="0" xfId="57" applyNumberFormat="1" applyFont="1" applyBorder="1" applyAlignment="1">
      <alignment horizontal="right"/>
    </xf>
    <xf numFmtId="224" fontId="0" fillId="0" borderId="0" xfId="0" applyNumberFormat="1" applyBorder="1" applyAlignment="1">
      <alignment/>
    </xf>
    <xf numFmtId="194" fontId="5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10" xfId="0" applyNumberFormat="1" applyFont="1" applyBorder="1" applyAlignment="1">
      <alignment horizontal="left"/>
    </xf>
    <xf numFmtId="195" fontId="0" fillId="0" borderId="15" xfId="57" applyNumberFormat="1" applyFont="1" applyBorder="1" applyAlignment="1">
      <alignment/>
    </xf>
    <xf numFmtId="194" fontId="0" fillId="0" borderId="16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0" xfId="57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3" fontId="10" fillId="0" borderId="22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3" fontId="10" fillId="0" borderId="26" xfId="0" applyNumberFormat="1" applyFont="1" applyBorder="1" applyAlignment="1">
      <alignment horizontal="center" vertical="top" wrapText="1"/>
    </xf>
    <xf numFmtId="0" fontId="11" fillId="0" borderId="26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3" fontId="9" fillId="0" borderId="22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justify" vertical="top" wrapText="1"/>
    </xf>
    <xf numFmtId="0" fontId="10" fillId="0" borderId="0" xfId="0" applyFont="1" applyAlignment="1">
      <alignment horizontal="right" vertical="top" wrapText="1"/>
    </xf>
    <xf numFmtId="10" fontId="10" fillId="0" borderId="20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horizontal="justify" vertical="top" wrapText="1"/>
    </xf>
    <xf numFmtId="195" fontId="10" fillId="0" borderId="22" xfId="0" applyNumberFormat="1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3" fillId="0" borderId="30" xfId="0" applyFont="1" applyBorder="1" applyAlignment="1">
      <alignment horizontal="justify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3" fillId="0" borderId="31" xfId="0" applyFont="1" applyBorder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1" fillId="0" borderId="26" xfId="0" applyFont="1" applyBorder="1" applyAlignment="1">
      <alignment horizontal="center" wrapText="1"/>
    </xf>
    <xf numFmtId="17" fontId="11" fillId="0" borderId="26" xfId="0" applyNumberFormat="1" applyFont="1" applyBorder="1" applyAlignment="1">
      <alignment horizontal="justify" wrapText="1"/>
    </xf>
    <xf numFmtId="0" fontId="11" fillId="0" borderId="21" xfId="0" applyFont="1" applyBorder="1" applyAlignment="1">
      <alignment horizontal="justify" wrapText="1"/>
    </xf>
    <xf numFmtId="17" fontId="11" fillId="0" borderId="20" xfId="0" applyNumberFormat="1" applyFont="1" applyBorder="1" applyAlignment="1">
      <alignment horizontal="justify" wrapText="1"/>
    </xf>
    <xf numFmtId="0" fontId="11" fillId="0" borderId="22" xfId="0" applyFont="1" applyBorder="1" applyAlignment="1">
      <alignment horizontal="center" wrapText="1"/>
    </xf>
    <xf numFmtId="17" fontId="11" fillId="0" borderId="22" xfId="0" applyNumberFormat="1" applyFont="1" applyBorder="1" applyAlignment="1">
      <alignment horizontal="justify" wrapText="1"/>
    </xf>
    <xf numFmtId="0" fontId="11" fillId="0" borderId="23" xfId="0" applyFont="1" applyBorder="1" applyAlignment="1">
      <alignment horizontal="justify" wrapText="1"/>
    </xf>
    <xf numFmtId="0" fontId="13" fillId="0" borderId="28" xfId="0" applyFont="1" applyBorder="1" applyAlignment="1">
      <alignment horizontal="justify" wrapText="1"/>
    </xf>
    <xf numFmtId="0" fontId="13" fillId="0" borderId="29" xfId="0" applyFont="1" applyBorder="1" applyAlignment="1">
      <alignment horizontal="justify" wrapText="1"/>
    </xf>
    <xf numFmtId="0" fontId="10" fillId="0" borderId="25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right" vertical="top" wrapText="1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right" vertical="top" wrapText="1"/>
    </xf>
    <xf numFmtId="167" fontId="19" fillId="0" borderId="23" xfId="0" applyNumberFormat="1" applyFont="1" applyBorder="1" applyAlignment="1">
      <alignment/>
    </xf>
    <xf numFmtId="0" fontId="20" fillId="0" borderId="23" xfId="0" applyFont="1" applyBorder="1" applyAlignment="1">
      <alignment vertical="top" wrapText="1"/>
    </xf>
    <xf numFmtId="0" fontId="18" fillId="0" borderId="20" xfId="0" applyFont="1" applyBorder="1" applyAlignment="1">
      <alignment horizontal="right" vertical="top" wrapText="1"/>
    </xf>
    <xf numFmtId="0" fontId="18" fillId="0" borderId="23" xfId="0" applyFont="1" applyBorder="1" applyAlignment="1">
      <alignment horizontal="right" vertical="top" wrapText="1"/>
    </xf>
    <xf numFmtId="0" fontId="18" fillId="0" borderId="29" xfId="0" applyFont="1" applyBorder="1" applyAlignment="1">
      <alignment vertical="top" wrapText="1"/>
    </xf>
    <xf numFmtId="0" fontId="20" fillId="0" borderId="22" xfId="0" applyFont="1" applyBorder="1" applyAlignment="1">
      <alignment horizontal="right" vertical="top" wrapText="1"/>
    </xf>
    <xf numFmtId="0" fontId="20" fillId="0" borderId="23" xfId="0" applyFont="1" applyBorder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9" fontId="22" fillId="0" borderId="27" xfId="0" applyNumberFormat="1" applyFont="1" applyBorder="1" applyAlignment="1">
      <alignment horizontal="center" vertical="top" wrapText="1"/>
    </xf>
    <xf numFmtId="9" fontId="22" fillId="0" borderId="26" xfId="0" applyNumberFormat="1" applyFont="1" applyBorder="1" applyAlignment="1">
      <alignment horizontal="center" vertical="top" wrapText="1"/>
    </xf>
    <xf numFmtId="9" fontId="22" fillId="0" borderId="23" xfId="0" applyNumberFormat="1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9" fontId="22" fillId="0" borderId="21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2" fillId="0" borderId="32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0" fillId="0" borderId="33" xfId="0" applyFont="1" applyBorder="1" applyAlignment="1">
      <alignment horizontal="left" vertical="top" readingOrder="1"/>
    </xf>
    <xf numFmtId="0" fontId="10" fillId="0" borderId="0" xfId="0" applyFont="1" applyAlignment="1">
      <alignment horizontal="left" vertical="top" readingOrder="1"/>
    </xf>
    <xf numFmtId="0" fontId="21" fillId="0" borderId="25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M10" sqref="M10"/>
    </sheetView>
  </sheetViews>
  <sheetFormatPr defaultColWidth="15.375" defaultRowHeight="12"/>
  <cols>
    <col min="1" max="1" width="11.25390625" style="0" customWidth="1"/>
    <col min="2" max="2" width="7.375" style="11" customWidth="1"/>
    <col min="3" max="3" width="30.25390625" style="0" customWidth="1"/>
    <col min="4" max="4" width="9.625" style="0" customWidth="1"/>
    <col min="5" max="5" width="7.375" style="0" customWidth="1"/>
    <col min="6" max="6" width="9.00390625" style="0" customWidth="1"/>
    <col min="7" max="8" width="7.375" style="0" customWidth="1"/>
    <col min="9" max="9" width="8.75390625" style="0" customWidth="1"/>
    <col min="10" max="10" width="7.375" style="0" customWidth="1"/>
    <col min="11" max="12" width="8.00390625" style="0" customWidth="1"/>
  </cols>
  <sheetData>
    <row r="1" spans="2:13" ht="10.5">
      <c r="B1" s="43"/>
      <c r="C1" s="12"/>
      <c r="D1" s="12"/>
      <c r="E1" s="12"/>
      <c r="F1" s="12"/>
      <c r="G1" s="12"/>
      <c r="H1" s="12"/>
      <c r="I1" s="12"/>
      <c r="J1" s="12"/>
      <c r="K1" s="2"/>
      <c r="L1" s="2"/>
      <c r="M1" s="2"/>
    </row>
    <row r="2" spans="2:13" s="1" customFormat="1" ht="10.5">
      <c r="B2" s="10"/>
      <c r="C2" s="25"/>
      <c r="D2" s="26">
        <v>2003</v>
      </c>
      <c r="E2" s="26">
        <f aca="true" t="shared" si="0" ref="E2:K2">D2+1</f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si="0"/>
        <v>2010</v>
      </c>
      <c r="L2" s="8"/>
      <c r="M2" s="8"/>
    </row>
    <row r="3" spans="2:14" ht="10.5">
      <c r="B3" s="43"/>
      <c r="C3" s="16" t="s">
        <v>0</v>
      </c>
      <c r="D3" s="19">
        <f aca="true" t="shared" si="1" ref="D3:N3">E16</f>
        <v>-290</v>
      </c>
      <c r="E3" s="19">
        <f t="shared" si="1"/>
        <v>-102</v>
      </c>
      <c r="F3" s="19">
        <f t="shared" si="1"/>
        <v>250</v>
      </c>
      <c r="G3" s="19">
        <f t="shared" si="1"/>
        <v>354</v>
      </c>
      <c r="H3" s="19">
        <f t="shared" si="1"/>
        <v>459</v>
      </c>
      <c r="I3" s="19">
        <f t="shared" si="1"/>
        <v>496</v>
      </c>
      <c r="J3" s="19">
        <f t="shared" si="1"/>
        <v>505.92</v>
      </c>
      <c r="K3" s="19">
        <f t="shared" si="1"/>
        <v>516.0384</v>
      </c>
      <c r="L3" s="19">
        <f t="shared" si="1"/>
        <v>526.3591680000001</v>
      </c>
      <c r="M3" s="19">
        <f t="shared" si="1"/>
        <v>536.88635136</v>
      </c>
      <c r="N3" s="19">
        <f t="shared" si="1"/>
        <v>547.6240783872</v>
      </c>
    </row>
    <row r="4" spans="1:13" ht="10.5">
      <c r="A4" s="14" t="s">
        <v>2</v>
      </c>
      <c r="B4" s="15">
        <v>0.1</v>
      </c>
      <c r="C4" s="17" t="s">
        <v>20</v>
      </c>
      <c r="D4" s="18"/>
      <c r="E4" s="18"/>
      <c r="F4" s="18"/>
      <c r="G4" s="18"/>
      <c r="H4" s="18"/>
      <c r="I4" s="38">
        <f>I3*(1+B5)/(B4-B5)</f>
        <v>6324</v>
      </c>
      <c r="K4" s="2"/>
      <c r="L4" s="2"/>
      <c r="M4" s="2"/>
    </row>
    <row r="5" spans="1:13" ht="10.5">
      <c r="A5" s="14" t="s">
        <v>5</v>
      </c>
      <c r="B5" s="46">
        <v>0.02</v>
      </c>
      <c r="C5" s="12"/>
      <c r="D5" s="12"/>
      <c r="E5" s="12"/>
      <c r="F5" s="12"/>
      <c r="G5" s="12"/>
      <c r="H5" s="12"/>
      <c r="I5" s="12"/>
      <c r="J5" s="12"/>
      <c r="K5" s="2"/>
      <c r="L5" s="2"/>
      <c r="M5" s="2"/>
    </row>
    <row r="6" spans="2:10" s="6" customFormat="1" ht="10.5">
      <c r="B6" s="43"/>
      <c r="C6" s="12"/>
      <c r="D6" s="12" t="s">
        <v>19</v>
      </c>
      <c r="E6" s="12"/>
      <c r="F6" s="12"/>
      <c r="G6" s="12"/>
      <c r="H6" s="12"/>
      <c r="I6" s="12"/>
      <c r="J6" s="12"/>
    </row>
    <row r="7" spans="2:10" ht="10.5">
      <c r="B7" s="43"/>
      <c r="C7" s="12" t="s">
        <v>21</v>
      </c>
      <c r="D7" s="36">
        <f>B4</f>
        <v>0.1</v>
      </c>
      <c r="E7" s="12"/>
      <c r="F7" s="12"/>
      <c r="G7" s="12"/>
      <c r="H7" s="12"/>
      <c r="I7" s="12" t="s">
        <v>7</v>
      </c>
      <c r="J7" s="28">
        <v>1490</v>
      </c>
    </row>
    <row r="8" spans="2:10" s="6" customFormat="1" ht="10.5">
      <c r="B8" s="43"/>
      <c r="C8" s="12" t="s">
        <v>4</v>
      </c>
      <c r="D8" s="27">
        <f>NPV(B4,D3:I3)</f>
        <v>646.6635357179342</v>
      </c>
      <c r="E8" s="12"/>
      <c r="F8" s="12"/>
      <c r="G8" s="12"/>
      <c r="H8" s="12"/>
      <c r="I8" s="12" t="s">
        <v>13</v>
      </c>
      <c r="J8" s="27">
        <f>D26</f>
        <v>1184</v>
      </c>
    </row>
    <row r="9" spans="2:10" ht="10.5">
      <c r="B9" s="43"/>
      <c r="C9" s="12" t="s">
        <v>20</v>
      </c>
      <c r="D9" s="27">
        <f>I4/(1+B$4)^6</f>
        <v>3569.733133660087</v>
      </c>
      <c r="E9" s="12"/>
      <c r="F9" s="12"/>
      <c r="G9" s="12"/>
      <c r="H9" s="12"/>
      <c r="I9" s="12"/>
      <c r="J9" s="12"/>
    </row>
    <row r="10" spans="2:10" ht="10.5">
      <c r="B10" s="43"/>
      <c r="C10" s="5" t="s">
        <v>22</v>
      </c>
      <c r="D10" s="35">
        <f>SUM(D8:D9)</f>
        <v>4216.396669378021</v>
      </c>
      <c r="E10" s="12"/>
      <c r="F10" s="12"/>
      <c r="G10" s="12"/>
      <c r="H10" s="12"/>
      <c r="I10" s="12" t="s">
        <v>8</v>
      </c>
      <c r="J10" s="40">
        <f>(J7/(J8+J7))*E20+(J8/(J8+J7))*E21*0.65</f>
        <v>0.10001271503365744</v>
      </c>
    </row>
    <row r="11" spans="2:10" ht="10.5">
      <c r="B11" s="43"/>
      <c r="C11" s="12" t="s">
        <v>42</v>
      </c>
      <c r="D11" s="27">
        <f>-D26</f>
        <v>-1184</v>
      </c>
      <c r="E11" s="12"/>
      <c r="F11" s="12"/>
      <c r="G11" s="12"/>
      <c r="H11" s="12"/>
      <c r="I11" s="12"/>
      <c r="J11" s="12"/>
    </row>
    <row r="12" spans="2:10" ht="10.5">
      <c r="B12" s="43"/>
      <c r="C12" s="52" t="s">
        <v>41</v>
      </c>
      <c r="D12" s="42">
        <f>D10+D11</f>
        <v>3032.396669378021</v>
      </c>
      <c r="E12" s="4"/>
      <c r="F12" s="12"/>
      <c r="G12" s="4"/>
      <c r="H12" s="4"/>
      <c r="I12" s="4"/>
      <c r="J12" s="4"/>
    </row>
    <row r="13" spans="2:10" ht="10.5">
      <c r="B13" s="43"/>
      <c r="C13" s="3"/>
      <c r="D13" s="7"/>
      <c r="E13" s="7"/>
      <c r="F13" s="12"/>
      <c r="G13" s="7"/>
      <c r="H13" s="7"/>
      <c r="I13" s="7"/>
      <c r="J13" s="7"/>
    </row>
    <row r="14" spans="2:10" ht="10.5">
      <c r="B14" s="43"/>
      <c r="C14" s="12"/>
      <c r="D14" s="12"/>
      <c r="E14" s="12"/>
      <c r="F14" s="12"/>
      <c r="G14" s="12"/>
      <c r="H14" s="12"/>
      <c r="I14" s="12"/>
      <c r="J14" s="12"/>
    </row>
    <row r="15" spans="2:15" s="1" customFormat="1" ht="10.5">
      <c r="B15" s="10"/>
      <c r="C15" s="25"/>
      <c r="D15" s="26">
        <v>2002</v>
      </c>
      <c r="E15" s="26">
        <v>2003</v>
      </c>
      <c r="F15" s="26">
        <f aca="true" t="shared" si="2" ref="F15:O15">E15+1</f>
        <v>2004</v>
      </c>
      <c r="G15" s="26">
        <f t="shared" si="2"/>
        <v>2005</v>
      </c>
      <c r="H15" s="26">
        <f t="shared" si="2"/>
        <v>2006</v>
      </c>
      <c r="I15" s="26">
        <f t="shared" si="2"/>
        <v>2007</v>
      </c>
      <c r="J15" s="26">
        <f t="shared" si="2"/>
        <v>2008</v>
      </c>
      <c r="K15" s="26">
        <f t="shared" si="2"/>
        <v>2009</v>
      </c>
      <c r="L15" s="26">
        <f t="shared" si="2"/>
        <v>2010</v>
      </c>
      <c r="M15" s="26">
        <f t="shared" si="2"/>
        <v>2011</v>
      </c>
      <c r="N15" s="26">
        <f t="shared" si="2"/>
        <v>2012</v>
      </c>
      <c r="O15" s="26">
        <f t="shared" si="2"/>
        <v>2013</v>
      </c>
    </row>
    <row r="16" spans="2:15" ht="10.5">
      <c r="B16" s="44">
        <v>1</v>
      </c>
      <c r="C16" s="30" t="s">
        <v>0</v>
      </c>
      <c r="D16" s="16"/>
      <c r="E16" s="19">
        <v>-290</v>
      </c>
      <c r="F16" s="19">
        <v>-102</v>
      </c>
      <c r="G16" s="19">
        <v>250</v>
      </c>
      <c r="H16" s="19">
        <v>354</v>
      </c>
      <c r="I16" s="19">
        <v>459</v>
      </c>
      <c r="J16" s="19">
        <v>496</v>
      </c>
      <c r="K16" s="19">
        <f>J16*1.02</f>
        <v>505.92</v>
      </c>
      <c r="L16" s="19">
        <f>K16*1.02</f>
        <v>516.0384</v>
      </c>
      <c r="M16" s="19">
        <f>L16*1.02</f>
        <v>526.3591680000001</v>
      </c>
      <c r="N16" s="19">
        <f>M16*1.02</f>
        <v>536.88635136</v>
      </c>
      <c r="O16" s="19">
        <f>N16*1.02</f>
        <v>547.6240783872</v>
      </c>
    </row>
    <row r="17" spans="2:15" ht="10.5">
      <c r="B17" s="44">
        <v>2</v>
      </c>
      <c r="C17" s="30" t="s">
        <v>17</v>
      </c>
      <c r="D17" s="16"/>
      <c r="E17" s="19">
        <v>0</v>
      </c>
      <c r="F17" s="19">
        <v>0</v>
      </c>
      <c r="G17" s="19">
        <v>0</v>
      </c>
      <c r="H17" s="19">
        <v>0</v>
      </c>
      <c r="I17" s="19">
        <f>J17/1.02</f>
        <v>34.31372549019608</v>
      </c>
      <c r="J17" s="19">
        <v>35</v>
      </c>
      <c r="K17" s="16">
        <f>K16-K18*(1-K19)+J26*0.02</f>
        <v>473.1779988200902</v>
      </c>
      <c r="L17" s="16">
        <f>L16-L18*(1-L19)+K26*0.02</f>
        <v>482.641558796492</v>
      </c>
      <c r="M17" s="16">
        <f>M16-M18*(1-M19)+L26*0.02</f>
        <v>492.29438997242187</v>
      </c>
      <c r="N17" s="16">
        <f>N16-N18*(1-N19)+M26*0.02</f>
        <v>502.1402777718703</v>
      </c>
      <c r="O17" s="16">
        <f>O16-O18*(1-O19)+N26*0.02</f>
        <v>512.1830833273076</v>
      </c>
    </row>
    <row r="18" spans="2:15" ht="10.5">
      <c r="B18" s="44">
        <v>3</v>
      </c>
      <c r="C18" s="31" t="s">
        <v>15</v>
      </c>
      <c r="D18" s="24"/>
      <c r="E18" s="34">
        <f aca="true" t="shared" si="3" ref="E18:O18">D26*E21</f>
        <v>106.56</v>
      </c>
      <c r="F18" s="34">
        <f t="shared" si="3"/>
        <v>142.25039999999998</v>
      </c>
      <c r="G18" s="34">
        <f t="shared" si="3"/>
        <v>164.23293599999997</v>
      </c>
      <c r="H18" s="34">
        <f t="shared" si="3"/>
        <v>156.51390023999997</v>
      </c>
      <c r="I18" s="34">
        <f t="shared" si="3"/>
        <v>138.74015126159995</v>
      </c>
      <c r="J18" s="34">
        <f t="shared" si="3"/>
        <v>111.50660653563631</v>
      </c>
      <c r="K18" s="34">
        <f t="shared" si="3"/>
        <v>76.53974301797103</v>
      </c>
      <c r="L18" s="34">
        <f t="shared" si="3"/>
        <v>78.07053787833046</v>
      </c>
      <c r="M18" s="34">
        <f t="shared" si="3"/>
        <v>79.63194863589707</v>
      </c>
      <c r="N18" s="34">
        <f t="shared" si="3"/>
        <v>81.22458760861501</v>
      </c>
      <c r="O18" s="34">
        <f t="shared" si="3"/>
        <v>82.84907936078731</v>
      </c>
    </row>
    <row r="19" spans="2:15" ht="10.5">
      <c r="B19" s="44">
        <v>4</v>
      </c>
      <c r="C19" s="31" t="s">
        <v>3</v>
      </c>
      <c r="D19" s="24"/>
      <c r="E19" s="29">
        <v>0</v>
      </c>
      <c r="F19" s="29">
        <v>0</v>
      </c>
      <c r="G19" s="29">
        <v>0</v>
      </c>
      <c r="H19" s="29">
        <v>0</v>
      </c>
      <c r="I19" s="29">
        <v>0.12</v>
      </c>
      <c r="J19" s="29">
        <v>0.35</v>
      </c>
      <c r="K19" s="29">
        <v>0.35</v>
      </c>
      <c r="L19" s="29">
        <v>0.35</v>
      </c>
      <c r="M19" s="29">
        <v>0.35</v>
      </c>
      <c r="N19" s="29">
        <v>0.35</v>
      </c>
      <c r="O19" s="29">
        <v>0.35</v>
      </c>
    </row>
    <row r="20" spans="2:15" ht="10.5">
      <c r="B20" s="44">
        <v>5</v>
      </c>
      <c r="C20" s="32" t="s">
        <v>1</v>
      </c>
      <c r="D20" s="21"/>
      <c r="E20" s="29">
        <v>0.133</v>
      </c>
      <c r="F20" s="29">
        <v>0.133</v>
      </c>
      <c r="G20" s="29">
        <v>0.133</v>
      </c>
      <c r="H20" s="29">
        <v>0.133</v>
      </c>
      <c r="I20" s="29">
        <v>0.133</v>
      </c>
      <c r="J20" s="29">
        <v>0.133</v>
      </c>
      <c r="K20" s="29">
        <v>0.133</v>
      </c>
      <c r="L20" s="29">
        <v>0.133</v>
      </c>
      <c r="M20" s="21">
        <v>0.133</v>
      </c>
      <c r="N20" s="21">
        <v>0.133</v>
      </c>
      <c r="O20" s="21">
        <v>0.133</v>
      </c>
    </row>
    <row r="21" spans="2:15" ht="10.5">
      <c r="B21" s="44">
        <v>6</v>
      </c>
      <c r="C21" s="32" t="s">
        <v>14</v>
      </c>
      <c r="D21" s="21"/>
      <c r="E21" s="29">
        <v>0.09</v>
      </c>
      <c r="F21" s="29">
        <f aca="true" t="shared" si="4" ref="F21:O21">E21</f>
        <v>0.09</v>
      </c>
      <c r="G21" s="29">
        <f t="shared" si="4"/>
        <v>0.09</v>
      </c>
      <c r="H21" s="29">
        <f t="shared" si="4"/>
        <v>0.09</v>
      </c>
      <c r="I21" s="29">
        <f t="shared" si="4"/>
        <v>0.09</v>
      </c>
      <c r="J21" s="29">
        <f t="shared" si="4"/>
        <v>0.09</v>
      </c>
      <c r="K21" s="29">
        <f t="shared" si="4"/>
        <v>0.09</v>
      </c>
      <c r="L21" s="29">
        <f t="shared" si="4"/>
        <v>0.09</v>
      </c>
      <c r="M21" s="21">
        <f t="shared" si="4"/>
        <v>0.09</v>
      </c>
      <c r="N21" s="21">
        <f t="shared" si="4"/>
        <v>0.09</v>
      </c>
      <c r="O21" s="21">
        <f t="shared" si="4"/>
        <v>0.09</v>
      </c>
    </row>
    <row r="22" spans="2:15" ht="10.5">
      <c r="B22" s="44">
        <v>7</v>
      </c>
      <c r="C22" s="31" t="s">
        <v>23</v>
      </c>
      <c r="D22" s="15"/>
      <c r="E22" s="39">
        <v>0.1</v>
      </c>
      <c r="F22" s="39">
        <v>0.1</v>
      </c>
      <c r="G22" s="39">
        <v>0.1</v>
      </c>
      <c r="H22" s="39">
        <v>0.1</v>
      </c>
      <c r="I22" s="39">
        <v>0.1</v>
      </c>
      <c r="J22" s="39">
        <v>0.1</v>
      </c>
      <c r="K22" s="39">
        <v>0.1</v>
      </c>
      <c r="L22" s="39">
        <v>0.1</v>
      </c>
      <c r="M22" s="15">
        <v>0.1</v>
      </c>
      <c r="N22" s="15">
        <v>0.1</v>
      </c>
      <c r="O22" s="15">
        <v>0.1</v>
      </c>
    </row>
    <row r="23" spans="2:15" ht="10.5">
      <c r="B23" s="44"/>
      <c r="C23" s="3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ht="10.5">
      <c r="B24" s="44">
        <v>8</v>
      </c>
      <c r="C24" s="30" t="s">
        <v>10</v>
      </c>
      <c r="D24" s="37">
        <f>D12</f>
        <v>3032.396669378021</v>
      </c>
      <c r="E24" s="37">
        <f aca="true" t="shared" si="5" ref="E24:O24">D24*(1+E20)-E17</f>
        <v>3435.705426405298</v>
      </c>
      <c r="F24" s="37">
        <f t="shared" si="5"/>
        <v>3892.6542481172028</v>
      </c>
      <c r="G24" s="37">
        <f t="shared" si="5"/>
        <v>4410.37726311679</v>
      </c>
      <c r="H24" s="37">
        <f t="shared" si="5"/>
        <v>4996.957439111324</v>
      </c>
      <c r="I24" s="37">
        <f t="shared" si="5"/>
        <v>5627.239053022934</v>
      </c>
      <c r="J24" s="37">
        <f t="shared" si="5"/>
        <v>6340.6618470749845</v>
      </c>
      <c r="K24" s="37">
        <f t="shared" si="5"/>
        <v>6710.791873915867</v>
      </c>
      <c r="L24" s="37">
        <f t="shared" si="5"/>
        <v>7120.685634350185</v>
      </c>
      <c r="M24" s="19">
        <f t="shared" si="5"/>
        <v>7575.442433746337</v>
      </c>
      <c r="N24" s="19">
        <f t="shared" si="5"/>
        <v>8080.83599966273</v>
      </c>
      <c r="O24" s="19">
        <f t="shared" si="5"/>
        <v>8643.404104290566</v>
      </c>
    </row>
    <row r="25" spans="2:15" ht="10.5">
      <c r="B25" s="44">
        <v>9</v>
      </c>
      <c r="C25" s="32" t="s">
        <v>12</v>
      </c>
      <c r="D25" s="21"/>
      <c r="E25" s="22">
        <f aca="true" t="shared" si="6" ref="E25:O25">E17-E16+E18*(1-E19)</f>
        <v>396.56</v>
      </c>
      <c r="F25" s="22">
        <f t="shared" si="6"/>
        <v>244.25039999999998</v>
      </c>
      <c r="G25" s="22">
        <f t="shared" si="6"/>
        <v>-85.76706400000003</v>
      </c>
      <c r="H25" s="22">
        <f t="shared" si="6"/>
        <v>-197.48609976000003</v>
      </c>
      <c r="I25" s="22">
        <f t="shared" si="6"/>
        <v>-302.594941399596</v>
      </c>
      <c r="J25" s="22">
        <f t="shared" si="6"/>
        <v>-388.52070575183643</v>
      </c>
      <c r="K25" s="22">
        <f t="shared" si="6"/>
        <v>17.00883178177134</v>
      </c>
      <c r="L25" s="22">
        <f t="shared" si="6"/>
        <v>17.34900841740678</v>
      </c>
      <c r="M25" s="22">
        <f t="shared" si="6"/>
        <v>17.695988585754904</v>
      </c>
      <c r="N25" s="22">
        <f t="shared" si="6"/>
        <v>18.04990835746998</v>
      </c>
      <c r="O25" s="22">
        <f t="shared" si="6"/>
        <v>18.410906524619328</v>
      </c>
    </row>
    <row r="26" spans="2:15" ht="10.5">
      <c r="B26" s="44">
        <v>10</v>
      </c>
      <c r="C26" s="30" t="s">
        <v>11</v>
      </c>
      <c r="D26" s="19">
        <v>1184</v>
      </c>
      <c r="E26" s="19">
        <f aca="true" t="shared" si="7" ref="E26:O26">D26+E25</f>
        <v>1580.56</v>
      </c>
      <c r="F26" s="19">
        <f t="shared" si="7"/>
        <v>1824.8103999999998</v>
      </c>
      <c r="G26" s="19">
        <f t="shared" si="7"/>
        <v>1739.0433359999997</v>
      </c>
      <c r="H26" s="19">
        <f t="shared" si="7"/>
        <v>1541.5572362399996</v>
      </c>
      <c r="I26" s="19">
        <f t="shared" si="7"/>
        <v>1238.9622948404035</v>
      </c>
      <c r="J26" s="19">
        <f t="shared" si="7"/>
        <v>850.4415890885671</v>
      </c>
      <c r="K26" s="19">
        <f t="shared" si="7"/>
        <v>867.4504208703385</v>
      </c>
      <c r="L26" s="19">
        <f t="shared" si="7"/>
        <v>884.7994292877453</v>
      </c>
      <c r="M26" s="19">
        <f t="shared" si="7"/>
        <v>902.4954178735002</v>
      </c>
      <c r="N26" s="19">
        <f t="shared" si="7"/>
        <v>920.5453262309702</v>
      </c>
      <c r="O26" s="19">
        <f t="shared" si="7"/>
        <v>938.9562327555896</v>
      </c>
    </row>
    <row r="27" spans="2:15" ht="10.5">
      <c r="B27" s="44">
        <v>11</v>
      </c>
      <c r="C27" s="30" t="s">
        <v>9</v>
      </c>
      <c r="D27" s="20">
        <f aca="true" t="shared" si="8" ref="D27:O27">D26/(D26+D24)</f>
        <v>0.2808084942763834</v>
      </c>
      <c r="E27" s="20">
        <f t="shared" si="8"/>
        <v>0.31508699513387667</v>
      </c>
      <c r="F27" s="20">
        <f t="shared" si="8"/>
        <v>0.3191642646362355</v>
      </c>
      <c r="G27" s="20">
        <f t="shared" si="8"/>
        <v>0.282797916969571</v>
      </c>
      <c r="H27" s="20">
        <f t="shared" si="8"/>
        <v>0.23576566128257095</v>
      </c>
      <c r="I27" s="20">
        <f t="shared" si="8"/>
        <v>0.1804436299011171</v>
      </c>
      <c r="J27" s="20">
        <f t="shared" si="8"/>
        <v>0.11826301716253396</v>
      </c>
      <c r="K27" s="20">
        <f t="shared" si="8"/>
        <v>0.11446591269154066</v>
      </c>
      <c r="L27" s="20">
        <f t="shared" si="8"/>
        <v>0.11052414966166536</v>
      </c>
      <c r="M27" s="20">
        <f t="shared" si="8"/>
        <v>0.10645223327522563</v>
      </c>
      <c r="N27" s="20">
        <f t="shared" si="8"/>
        <v>0.1022671180014223</v>
      </c>
      <c r="O27" s="20">
        <f t="shared" si="8"/>
        <v>0.09798799040415034</v>
      </c>
    </row>
    <row r="28" ht="10.5">
      <c r="B28" s="45"/>
    </row>
    <row r="29" spans="2:15" ht="10.5">
      <c r="B29" s="44">
        <v>12</v>
      </c>
      <c r="C29" s="21" t="s">
        <v>16</v>
      </c>
      <c r="D29" s="21"/>
      <c r="E29" s="21">
        <f aca="true" t="shared" si="9" ref="E29:O29">D27*E21*(1-E19)+(1-D27)*E20</f>
        <v>0.12092523474611552</v>
      </c>
      <c r="F29" s="21">
        <f t="shared" si="9"/>
        <v>0.11945125920924331</v>
      </c>
      <c r="G29" s="21">
        <f t="shared" si="9"/>
        <v>0.11927593662064188</v>
      </c>
      <c r="H29" s="21">
        <f t="shared" si="9"/>
        <v>0.12083968957030845</v>
      </c>
      <c r="I29" s="21">
        <f t="shared" si="9"/>
        <v>0.12031580742299769</v>
      </c>
      <c r="J29" s="21">
        <f t="shared" si="9"/>
        <v>0.11955694957236677</v>
      </c>
      <c r="K29" s="21">
        <f t="shared" si="9"/>
        <v>0.12418940522139123</v>
      </c>
      <c r="L29" s="21">
        <f t="shared" si="9"/>
        <v>0.12447228950448022</v>
      </c>
      <c r="M29" s="21">
        <f t="shared" si="9"/>
        <v>0.12476595085020593</v>
      </c>
      <c r="N29" s="21">
        <f t="shared" si="9"/>
        <v>0.12506930862099572</v>
      </c>
      <c r="O29" s="21">
        <f t="shared" si="9"/>
        <v>0.12538109970889405</v>
      </c>
    </row>
    <row r="30" spans="2:15" ht="10.5">
      <c r="B30" s="44">
        <v>13</v>
      </c>
      <c r="C30" s="23" t="s">
        <v>6</v>
      </c>
      <c r="D30" s="15"/>
      <c r="E30" s="15">
        <f aca="true" t="shared" si="10" ref="E30:O30">(E22-D27*E21*(1-E19))/(1-D27)</f>
        <v>0.103904502375815</v>
      </c>
      <c r="F30" s="15">
        <f t="shared" si="10"/>
        <v>0.10460039439892758</v>
      </c>
      <c r="G30" s="15">
        <f t="shared" si="10"/>
        <v>0.10468783067718544</v>
      </c>
      <c r="H30" s="15">
        <f t="shared" si="10"/>
        <v>0.10394307160646622</v>
      </c>
      <c r="I30" s="15">
        <f t="shared" si="10"/>
        <v>0.10641678279322997</v>
      </c>
      <c r="J30" s="15">
        <f t="shared" si="10"/>
        <v>0.10913715140789261</v>
      </c>
      <c r="K30" s="15">
        <f t="shared" si="10"/>
        <v>0.10556618958688938</v>
      </c>
      <c r="L30" s="15">
        <f t="shared" si="10"/>
        <v>0.10536437325765445</v>
      </c>
      <c r="M30" s="15">
        <f t="shared" si="10"/>
        <v>0.10515669111107899</v>
      </c>
      <c r="N30" s="15">
        <f t="shared" si="10"/>
        <v>0.10494407556645217</v>
      </c>
      <c r="O30" s="15">
        <f t="shared" si="10"/>
        <v>0.104727559257505</v>
      </c>
    </row>
    <row r="31" spans="2:10" ht="10.5">
      <c r="B31" s="43"/>
      <c r="C31" s="3"/>
      <c r="D31" s="9"/>
      <c r="E31" s="9"/>
      <c r="F31" s="9"/>
      <c r="G31" s="9"/>
      <c r="H31" s="9"/>
      <c r="I31" s="9"/>
      <c r="J31" s="9"/>
    </row>
    <row r="32" spans="2:10" ht="10.5">
      <c r="B32" s="43"/>
      <c r="C32" s="3" t="s">
        <v>18</v>
      </c>
      <c r="D32" s="41">
        <f>NPV(E20,E17:N17)+O17/(E20-B5)/(1+E20)^10</f>
        <v>2014.4754317065986</v>
      </c>
      <c r="E32" s="9"/>
      <c r="F32" s="9"/>
      <c r="G32" s="9"/>
      <c r="H32" s="9"/>
      <c r="I32" s="9"/>
      <c r="J32" s="9"/>
    </row>
    <row r="33" spans="2:10" ht="10.5">
      <c r="B33" s="43"/>
      <c r="C33" s="3"/>
      <c r="D33" s="9"/>
      <c r="E33" s="9"/>
      <c r="F33" s="9"/>
      <c r="G33" s="9"/>
      <c r="H33" s="9"/>
      <c r="I33" s="9"/>
      <c r="J33" s="9"/>
    </row>
    <row r="34" spans="2:10" ht="10.5">
      <c r="B34" s="43"/>
      <c r="C34" s="3"/>
      <c r="D34" s="9"/>
      <c r="E34" s="9"/>
      <c r="F34" s="9"/>
      <c r="G34" s="9"/>
      <c r="H34" s="9"/>
      <c r="I34" s="9"/>
      <c r="J34" s="9"/>
    </row>
    <row r="35" spans="1:19" ht="11.25" thickBot="1">
      <c r="A35" s="54"/>
      <c r="B35" s="57"/>
      <c r="C35" s="56"/>
      <c r="D35" s="55"/>
      <c r="E35" s="55"/>
      <c r="F35" s="55"/>
      <c r="G35" s="55"/>
      <c r="H35" s="55"/>
      <c r="I35" s="55"/>
      <c r="J35" s="55"/>
      <c r="K35" s="54"/>
      <c r="L35" s="54"/>
      <c r="M35" s="54"/>
      <c r="N35" s="54"/>
      <c r="O35" s="54"/>
      <c r="P35" s="54"/>
      <c r="Q35" s="54"/>
      <c r="R35" s="54"/>
      <c r="S35" s="54"/>
    </row>
    <row r="36" spans="2:10" ht="10.5">
      <c r="B36" s="43"/>
      <c r="C36" s="3" t="s">
        <v>40</v>
      </c>
      <c r="D36" s="9"/>
      <c r="E36" s="9"/>
      <c r="F36" s="9"/>
      <c r="G36" s="9"/>
      <c r="H36" s="9"/>
      <c r="I36" s="9"/>
      <c r="J36" s="9"/>
    </row>
    <row r="37" spans="2:10" ht="10.5">
      <c r="B37" s="43"/>
      <c r="C37" s="3"/>
      <c r="D37" s="9"/>
      <c r="E37" s="9"/>
      <c r="F37" s="9"/>
      <c r="G37" s="9"/>
      <c r="H37" s="9"/>
      <c r="I37" s="9"/>
      <c r="J37" s="9"/>
    </row>
    <row r="38" spans="2:15" ht="10.5">
      <c r="B38" s="43"/>
      <c r="C38" s="43" t="s">
        <v>39</v>
      </c>
      <c r="D38" s="9"/>
      <c r="E38" s="53">
        <f>1/(1+E56)</f>
        <v>0.8951890973283815</v>
      </c>
      <c r="F38" s="53">
        <f aca="true" t="shared" si="11" ref="F38:L38">E38/(1+F56)</f>
        <v>0.8025677831643833</v>
      </c>
      <c r="G38" s="53">
        <f t="shared" si="11"/>
        <v>0.7196560823457184</v>
      </c>
      <c r="H38" s="53">
        <f t="shared" si="11"/>
        <v>0.6442851875044392</v>
      </c>
      <c r="I38" s="53">
        <f t="shared" si="11"/>
        <v>0.5773480461326488</v>
      </c>
      <c r="J38" s="53">
        <f t="shared" si="11"/>
        <v>0.5180741371836207</v>
      </c>
      <c r="K38" s="53">
        <f t="shared" si="11"/>
        <v>0.4623912934844093</v>
      </c>
      <c r="L38" s="53">
        <f t="shared" si="11"/>
        <v>0.4126932671306194</v>
      </c>
      <c r="M38" s="53"/>
      <c r="N38" s="53"/>
      <c r="O38" s="53"/>
    </row>
    <row r="39" spans="2:15" ht="10.5">
      <c r="B39" s="43"/>
      <c r="C39" s="52" t="s">
        <v>38</v>
      </c>
      <c r="D39" s="9"/>
      <c r="E39" s="35">
        <f aca="true" t="shared" si="12" ref="E39:L39">E16*E38</f>
        <v>-259.60483822523065</v>
      </c>
      <c r="F39" s="35">
        <f t="shared" si="12"/>
        <v>-81.8619138827671</v>
      </c>
      <c r="G39" s="35">
        <f t="shared" si="12"/>
        <v>179.91402058642961</v>
      </c>
      <c r="H39" s="35">
        <f t="shared" si="12"/>
        <v>228.07695637657147</v>
      </c>
      <c r="I39" s="35">
        <f t="shared" si="12"/>
        <v>265.0027531748858</v>
      </c>
      <c r="J39" s="35">
        <f t="shared" si="12"/>
        <v>256.96477204307587</v>
      </c>
      <c r="K39" s="35">
        <f t="shared" si="12"/>
        <v>233.93300319963237</v>
      </c>
      <c r="L39" s="35">
        <f t="shared" si="12"/>
        <v>212.9655732608574</v>
      </c>
      <c r="M39" s="35"/>
      <c r="N39" s="35"/>
      <c r="O39" s="35"/>
    </row>
    <row r="40" spans="2:12" ht="10.5">
      <c r="B40" s="43"/>
      <c r="C40" s="3" t="s">
        <v>37</v>
      </c>
      <c r="D40" s="9"/>
      <c r="E40" s="35"/>
      <c r="F40" s="35"/>
      <c r="G40" s="35"/>
      <c r="H40" s="35"/>
      <c r="I40" s="35"/>
      <c r="K40" s="35">
        <f>K41*K38</f>
        <v>2376.050678434005</v>
      </c>
      <c r="L40" s="35">
        <f>L41*L38</f>
        <v>2163.0851051731483</v>
      </c>
    </row>
    <row r="41" spans="2:12" ht="10.5">
      <c r="B41" s="43"/>
      <c r="C41" s="6" t="s">
        <v>20</v>
      </c>
      <c r="D41" s="6"/>
      <c r="E41" s="6"/>
      <c r="F41" s="6"/>
      <c r="G41" s="6"/>
      <c r="H41" s="6"/>
      <c r="I41" s="6"/>
      <c r="K41" s="6">
        <f>K44*1.02/(K56-B5)</f>
        <v>5138.614658007438</v>
      </c>
      <c r="L41" s="6">
        <f>L44*1.02/(L56-B5)</f>
        <v>5241.3869511675875</v>
      </c>
    </row>
    <row r="42" spans="2:10" ht="10.5">
      <c r="B42" s="43"/>
      <c r="C42" s="9"/>
      <c r="D42" s="9"/>
      <c r="E42" s="9"/>
      <c r="F42" s="9"/>
      <c r="G42" s="9"/>
      <c r="H42" s="9"/>
      <c r="I42" s="9"/>
      <c r="J42" s="9"/>
    </row>
    <row r="43" spans="1:19" ht="10.5">
      <c r="A43" s="1"/>
      <c r="B43" s="10"/>
      <c r="C43" s="25"/>
      <c r="D43" s="26">
        <v>2002</v>
      </c>
      <c r="E43" s="26">
        <v>2003</v>
      </c>
      <c r="F43" s="26">
        <f aca="true" t="shared" si="13" ref="F43:O43">E43+1</f>
        <v>2004</v>
      </c>
      <c r="G43" s="26">
        <f t="shared" si="13"/>
        <v>2005</v>
      </c>
      <c r="H43" s="26">
        <f t="shared" si="13"/>
        <v>2006</v>
      </c>
      <c r="I43" s="26">
        <f t="shared" si="13"/>
        <v>2007</v>
      </c>
      <c r="J43" s="26">
        <f t="shared" si="13"/>
        <v>2008</v>
      </c>
      <c r="K43" s="26">
        <f t="shared" si="13"/>
        <v>2009</v>
      </c>
      <c r="L43" s="26">
        <f t="shared" si="13"/>
        <v>2010</v>
      </c>
      <c r="M43" s="26">
        <f t="shared" si="13"/>
        <v>2011</v>
      </c>
      <c r="N43" s="26">
        <f t="shared" si="13"/>
        <v>2012</v>
      </c>
      <c r="O43" s="26">
        <f t="shared" si="13"/>
        <v>2013</v>
      </c>
      <c r="P43" s="1"/>
      <c r="Q43" s="1"/>
      <c r="R43" s="1"/>
      <c r="S43" s="1"/>
    </row>
    <row r="44" spans="2:15" ht="10.5">
      <c r="B44" s="44">
        <v>1</v>
      </c>
      <c r="C44" s="30" t="s">
        <v>0</v>
      </c>
      <c r="D44" s="16"/>
      <c r="E44" s="19">
        <f aca="true" t="shared" si="14" ref="E44:O44">E16</f>
        <v>-290</v>
      </c>
      <c r="F44" s="19">
        <f t="shared" si="14"/>
        <v>-102</v>
      </c>
      <c r="G44" s="19">
        <f t="shared" si="14"/>
        <v>250</v>
      </c>
      <c r="H44" s="19">
        <f t="shared" si="14"/>
        <v>354</v>
      </c>
      <c r="I44" s="19">
        <f t="shared" si="14"/>
        <v>459</v>
      </c>
      <c r="J44" s="19">
        <f t="shared" si="14"/>
        <v>496</v>
      </c>
      <c r="K44" s="37">
        <f t="shared" si="14"/>
        <v>505.92</v>
      </c>
      <c r="L44" s="37">
        <f t="shared" si="14"/>
        <v>516.0384</v>
      </c>
      <c r="M44" s="19">
        <f t="shared" si="14"/>
        <v>526.3591680000001</v>
      </c>
      <c r="N44" s="19">
        <f t="shared" si="14"/>
        <v>536.88635136</v>
      </c>
      <c r="O44" s="19">
        <f t="shared" si="14"/>
        <v>547.6240783872</v>
      </c>
    </row>
    <row r="45" spans="2:15" ht="10.5">
      <c r="B45" s="44">
        <v>2</v>
      </c>
      <c r="C45" s="30" t="s">
        <v>36</v>
      </c>
      <c r="D45" s="16"/>
      <c r="E45" s="19">
        <f aca="true" t="shared" si="15" ref="E45:J49">E17</f>
        <v>0</v>
      </c>
      <c r="F45" s="19">
        <f t="shared" si="15"/>
        <v>0</v>
      </c>
      <c r="G45" s="19">
        <f t="shared" si="15"/>
        <v>0</v>
      </c>
      <c r="H45" s="19">
        <f t="shared" si="15"/>
        <v>0</v>
      </c>
      <c r="I45" s="19">
        <f t="shared" si="15"/>
        <v>34.31372549019608</v>
      </c>
      <c r="J45" s="19">
        <f t="shared" si="15"/>
        <v>35</v>
      </c>
      <c r="K45" s="37">
        <f>K44-K46*(1-K47)+J53*0.02</f>
        <v>473.1779988200902</v>
      </c>
      <c r="L45" s="37">
        <f>L44-L46*(1-L47)+K53*0.02</f>
        <v>482.641558796492</v>
      </c>
      <c r="M45" s="16">
        <f>M44-M46*(1-M47)+L53*0.02</f>
        <v>492.29438997242187</v>
      </c>
      <c r="N45" s="16">
        <f>N44-N46*(1-N47)+M53*0.02</f>
        <v>502.1402777718703</v>
      </c>
      <c r="O45" s="19">
        <f>O17</f>
        <v>512.1830833273076</v>
      </c>
    </row>
    <row r="46" spans="2:15" ht="10.5">
      <c r="B46" s="44">
        <v>3</v>
      </c>
      <c r="C46" s="31" t="s">
        <v>35</v>
      </c>
      <c r="D46" s="24"/>
      <c r="E46" s="19">
        <f t="shared" si="15"/>
        <v>106.56</v>
      </c>
      <c r="F46" s="19">
        <f t="shared" si="15"/>
        <v>142.25039999999998</v>
      </c>
      <c r="G46" s="19">
        <f t="shared" si="15"/>
        <v>164.23293599999997</v>
      </c>
      <c r="H46" s="19">
        <f t="shared" si="15"/>
        <v>156.51390023999997</v>
      </c>
      <c r="I46" s="19">
        <f t="shared" si="15"/>
        <v>138.74015126159995</v>
      </c>
      <c r="J46" s="19">
        <f t="shared" si="15"/>
        <v>111.50660653563631</v>
      </c>
      <c r="K46" s="37">
        <f aca="true" t="shared" si="16" ref="K46:N49">K18</f>
        <v>76.53974301797103</v>
      </c>
      <c r="L46" s="37">
        <f t="shared" si="16"/>
        <v>78.07053787833046</v>
      </c>
      <c r="M46" s="19">
        <f t="shared" si="16"/>
        <v>79.63194863589707</v>
      </c>
      <c r="N46" s="19">
        <f t="shared" si="16"/>
        <v>81.22458760861501</v>
      </c>
      <c r="O46" s="19">
        <f>O18</f>
        <v>82.84907936078731</v>
      </c>
    </row>
    <row r="47" spans="2:15" ht="10.5">
      <c r="B47" s="44">
        <v>4</v>
      </c>
      <c r="C47" s="31" t="s">
        <v>34</v>
      </c>
      <c r="D47" s="24"/>
      <c r="E47" s="20">
        <f t="shared" si="15"/>
        <v>0</v>
      </c>
      <c r="F47" s="20">
        <f t="shared" si="15"/>
        <v>0</v>
      </c>
      <c r="G47" s="20">
        <f t="shared" si="15"/>
        <v>0</v>
      </c>
      <c r="H47" s="20">
        <f t="shared" si="15"/>
        <v>0</v>
      </c>
      <c r="I47" s="20">
        <f t="shared" si="15"/>
        <v>0.12</v>
      </c>
      <c r="J47" s="20">
        <f t="shared" si="15"/>
        <v>0.35</v>
      </c>
      <c r="K47" s="20">
        <f t="shared" si="16"/>
        <v>0.35</v>
      </c>
      <c r="L47" s="20">
        <f t="shared" si="16"/>
        <v>0.35</v>
      </c>
      <c r="M47" s="20">
        <f t="shared" si="16"/>
        <v>0.35</v>
      </c>
      <c r="N47" s="20">
        <f t="shared" si="16"/>
        <v>0.35</v>
      </c>
      <c r="O47" s="20">
        <f>O19</f>
        <v>0.35</v>
      </c>
    </row>
    <row r="48" spans="2:15" ht="10.5">
      <c r="B48" s="44">
        <v>5</v>
      </c>
      <c r="C48" s="32" t="s">
        <v>1</v>
      </c>
      <c r="D48" s="21"/>
      <c r="E48" s="20">
        <f t="shared" si="15"/>
        <v>0.133</v>
      </c>
      <c r="F48" s="20">
        <f t="shared" si="15"/>
        <v>0.133</v>
      </c>
      <c r="G48" s="20">
        <f t="shared" si="15"/>
        <v>0.133</v>
      </c>
      <c r="H48" s="20">
        <f t="shared" si="15"/>
        <v>0.133</v>
      </c>
      <c r="I48" s="20">
        <f t="shared" si="15"/>
        <v>0.133</v>
      </c>
      <c r="J48" s="20">
        <f t="shared" si="15"/>
        <v>0.133</v>
      </c>
      <c r="K48" s="20">
        <f t="shared" si="16"/>
        <v>0.133</v>
      </c>
      <c r="L48" s="20">
        <f t="shared" si="16"/>
        <v>0.133</v>
      </c>
      <c r="M48" s="20">
        <f t="shared" si="16"/>
        <v>0.133</v>
      </c>
      <c r="N48" s="20">
        <f t="shared" si="16"/>
        <v>0.133</v>
      </c>
      <c r="O48" s="20">
        <f>O20</f>
        <v>0.133</v>
      </c>
    </row>
    <row r="49" spans="2:15" ht="10.5">
      <c r="B49" s="44">
        <v>6</v>
      </c>
      <c r="C49" s="32" t="s">
        <v>14</v>
      </c>
      <c r="D49" s="21"/>
      <c r="E49" s="20">
        <f t="shared" si="15"/>
        <v>0.09</v>
      </c>
      <c r="F49" s="20">
        <f t="shared" si="15"/>
        <v>0.09</v>
      </c>
      <c r="G49" s="20">
        <f t="shared" si="15"/>
        <v>0.09</v>
      </c>
      <c r="H49" s="20">
        <f t="shared" si="15"/>
        <v>0.09</v>
      </c>
      <c r="I49" s="20">
        <f t="shared" si="15"/>
        <v>0.09</v>
      </c>
      <c r="J49" s="20">
        <f t="shared" si="15"/>
        <v>0.09</v>
      </c>
      <c r="K49" s="20">
        <f t="shared" si="16"/>
        <v>0.09</v>
      </c>
      <c r="L49" s="20">
        <f t="shared" si="16"/>
        <v>0.09</v>
      </c>
      <c r="M49" s="20">
        <f t="shared" si="16"/>
        <v>0.09</v>
      </c>
      <c r="N49" s="20">
        <f t="shared" si="16"/>
        <v>0.09</v>
      </c>
      <c r="O49" s="20">
        <f>O21</f>
        <v>0.09</v>
      </c>
    </row>
    <row r="50" spans="2:15" ht="10.5">
      <c r="B50" s="44"/>
      <c r="C50" s="3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10.5">
      <c r="B51" s="44">
        <v>8</v>
      </c>
      <c r="C51" s="30" t="s">
        <v>33</v>
      </c>
      <c r="D51" s="37">
        <f>D66</f>
        <v>2014.4754317065995</v>
      </c>
      <c r="E51" s="37">
        <f aca="true" t="shared" si="17" ref="E51:O51">D51*(1+E48)-E45</f>
        <v>2282.4006641235774</v>
      </c>
      <c r="F51" s="37">
        <f t="shared" si="17"/>
        <v>2585.959952452013</v>
      </c>
      <c r="G51" s="37">
        <f t="shared" si="17"/>
        <v>2929.892626128131</v>
      </c>
      <c r="H51" s="37">
        <f t="shared" si="17"/>
        <v>3319.5683454031723</v>
      </c>
      <c r="I51" s="37">
        <f t="shared" si="17"/>
        <v>3726.757209851598</v>
      </c>
      <c r="J51" s="37">
        <f t="shared" si="17"/>
        <v>4187.415918761861</v>
      </c>
      <c r="K51" s="37">
        <f t="shared" si="17"/>
        <v>4271.164237137097</v>
      </c>
      <c r="L51" s="37">
        <f t="shared" si="17"/>
        <v>4356.587521879839</v>
      </c>
      <c r="M51" s="19">
        <f t="shared" si="17"/>
        <v>4443.719272317436</v>
      </c>
      <c r="N51" s="19">
        <f t="shared" si="17"/>
        <v>4532.593657763784</v>
      </c>
      <c r="O51" s="19">
        <f t="shared" si="17"/>
        <v>4623.245530919059</v>
      </c>
    </row>
    <row r="52" spans="2:15" ht="10.5">
      <c r="B52" s="44">
        <v>9</v>
      </c>
      <c r="C52" s="32" t="s">
        <v>12</v>
      </c>
      <c r="D52" s="21"/>
      <c r="E52" s="22">
        <f aca="true" t="shared" si="18" ref="E52:O52">E45-E44+E46*(1-E47)</f>
        <v>396.56</v>
      </c>
      <c r="F52" s="22">
        <f t="shared" si="18"/>
        <v>244.25039999999998</v>
      </c>
      <c r="G52" s="22">
        <f t="shared" si="18"/>
        <v>-85.76706400000003</v>
      </c>
      <c r="H52" s="22">
        <f t="shared" si="18"/>
        <v>-197.48609976000003</v>
      </c>
      <c r="I52" s="22">
        <f t="shared" si="18"/>
        <v>-302.594941399596</v>
      </c>
      <c r="J52" s="22">
        <f t="shared" si="18"/>
        <v>-388.52070575183643</v>
      </c>
      <c r="K52" s="22">
        <f t="shared" si="18"/>
        <v>17.00883178177134</v>
      </c>
      <c r="L52" s="22">
        <f t="shared" si="18"/>
        <v>17.34900841740678</v>
      </c>
      <c r="M52" s="22">
        <f t="shared" si="18"/>
        <v>17.695988585754904</v>
      </c>
      <c r="N52" s="22">
        <f t="shared" si="18"/>
        <v>18.04990835746998</v>
      </c>
      <c r="O52" s="22">
        <f t="shared" si="18"/>
        <v>18.410906524619328</v>
      </c>
    </row>
    <row r="53" spans="2:15" ht="10.5">
      <c r="B53" s="44">
        <v>10</v>
      </c>
      <c r="C53" s="30" t="s">
        <v>32</v>
      </c>
      <c r="D53" s="19">
        <f>D26</f>
        <v>1184</v>
      </c>
      <c r="E53" s="19">
        <f aca="true" t="shared" si="19" ref="E53:O53">D53+E52</f>
        <v>1580.56</v>
      </c>
      <c r="F53" s="19">
        <f t="shared" si="19"/>
        <v>1824.8103999999998</v>
      </c>
      <c r="G53" s="19">
        <f t="shared" si="19"/>
        <v>1739.0433359999997</v>
      </c>
      <c r="H53" s="19">
        <f t="shared" si="19"/>
        <v>1541.5572362399996</v>
      </c>
      <c r="I53" s="19">
        <f t="shared" si="19"/>
        <v>1238.9622948404035</v>
      </c>
      <c r="J53" s="19">
        <f t="shared" si="19"/>
        <v>850.4415890885671</v>
      </c>
      <c r="K53" s="19">
        <f t="shared" si="19"/>
        <v>867.4504208703385</v>
      </c>
      <c r="L53" s="19">
        <f t="shared" si="19"/>
        <v>884.7994292877453</v>
      </c>
      <c r="M53" s="19">
        <f t="shared" si="19"/>
        <v>902.4954178735002</v>
      </c>
      <c r="N53" s="19">
        <f t="shared" si="19"/>
        <v>920.5453262309702</v>
      </c>
      <c r="O53" s="19">
        <f t="shared" si="19"/>
        <v>938.9562327555896</v>
      </c>
    </row>
    <row r="54" spans="2:15" ht="10.5">
      <c r="B54" s="44">
        <v>11</v>
      </c>
      <c r="C54" s="30" t="s">
        <v>9</v>
      </c>
      <c r="D54" s="20">
        <f aca="true" t="shared" si="20" ref="D54:O54">D53/(D53+D51)</f>
        <v>0.37017636223275824</v>
      </c>
      <c r="E54" s="20">
        <f t="shared" si="20"/>
        <v>0.40915767397766006</v>
      </c>
      <c r="F54" s="20">
        <f t="shared" si="20"/>
        <v>0.41371693699391093</v>
      </c>
      <c r="G54" s="20">
        <f t="shared" si="20"/>
        <v>0.37247101911574143</v>
      </c>
      <c r="H54" s="20">
        <f t="shared" si="20"/>
        <v>0.3171194017412975</v>
      </c>
      <c r="I54" s="20">
        <f t="shared" si="20"/>
        <v>0.24950307677864902</v>
      </c>
      <c r="J54" s="20">
        <f t="shared" si="20"/>
        <v>0.16881017134036347</v>
      </c>
      <c r="K54" s="20">
        <f t="shared" si="20"/>
        <v>0.16881017134036347</v>
      </c>
      <c r="L54" s="20">
        <f t="shared" si="20"/>
        <v>0.16881017134036347</v>
      </c>
      <c r="M54" s="20">
        <f t="shared" si="20"/>
        <v>0.16881017134036347</v>
      </c>
      <c r="N54" s="20">
        <f t="shared" si="20"/>
        <v>0.1688101713403635</v>
      </c>
      <c r="O54" s="20">
        <f t="shared" si="20"/>
        <v>0.16881017134036352</v>
      </c>
    </row>
    <row r="55" ht="10.5">
      <c r="B55" s="45"/>
    </row>
    <row r="56" spans="2:15" ht="10.5">
      <c r="B56" s="44">
        <v>12</v>
      </c>
      <c r="C56" s="21" t="s">
        <v>31</v>
      </c>
      <c r="D56" s="21"/>
      <c r="E56" s="21">
        <f aca="true" t="shared" si="21" ref="E56:O56">D54*E49*(1-E47)+(1-D54)*E48</f>
        <v>0.11708241642399139</v>
      </c>
      <c r="F56" s="21">
        <f t="shared" si="21"/>
        <v>0.11540622001896061</v>
      </c>
      <c r="G56" s="21">
        <f t="shared" si="21"/>
        <v>0.11521017170926184</v>
      </c>
      <c r="H56" s="21">
        <f t="shared" si="21"/>
        <v>0.11698374617802312</v>
      </c>
      <c r="I56" s="21">
        <f t="shared" si="21"/>
        <v>0.1159389761863182</v>
      </c>
      <c r="J56" s="21">
        <f t="shared" si="21"/>
        <v>0.11441202077999066</v>
      </c>
      <c r="K56" s="21">
        <f t="shared" si="21"/>
        <v>0.12042364223514293</v>
      </c>
      <c r="L56" s="21">
        <f t="shared" si="21"/>
        <v>0.12042364223514293</v>
      </c>
      <c r="M56" s="21">
        <f t="shared" si="21"/>
        <v>0.12042364223514293</v>
      </c>
      <c r="N56" s="21">
        <f t="shared" si="21"/>
        <v>0.12042364223514293</v>
      </c>
      <c r="O56" s="21">
        <f t="shared" si="21"/>
        <v>0.12042364223514293</v>
      </c>
    </row>
    <row r="57" spans="2:15" ht="10.5">
      <c r="B57" s="44">
        <v>13</v>
      </c>
      <c r="C57" s="23" t="s">
        <v>30</v>
      </c>
      <c r="D57" s="15"/>
      <c r="E57" s="15">
        <f aca="true" t="shared" si="22" ref="E57:O57">(E56-D54*E49*(1-E47))/(1-D54)</f>
        <v>0.13300000000000003</v>
      </c>
      <c r="F57" s="15">
        <f t="shared" si="22"/>
        <v>0.133</v>
      </c>
      <c r="G57" s="15">
        <f t="shared" si="22"/>
        <v>0.133</v>
      </c>
      <c r="H57" s="15">
        <f t="shared" si="22"/>
        <v>0.133</v>
      </c>
      <c r="I57" s="15">
        <f t="shared" si="22"/>
        <v>0.133</v>
      </c>
      <c r="J57" s="15">
        <f t="shared" si="22"/>
        <v>0.133</v>
      </c>
      <c r="K57" s="15">
        <f t="shared" si="22"/>
        <v>0.133</v>
      </c>
      <c r="L57" s="15">
        <f t="shared" si="22"/>
        <v>0.133</v>
      </c>
      <c r="M57" s="15">
        <f t="shared" si="22"/>
        <v>0.133</v>
      </c>
      <c r="N57" s="15">
        <f t="shared" si="22"/>
        <v>0.133</v>
      </c>
      <c r="O57" s="15">
        <f t="shared" si="22"/>
        <v>0.133</v>
      </c>
    </row>
    <row r="58" spans="2:10" ht="10.5">
      <c r="B58" s="43"/>
      <c r="C58" s="6"/>
      <c r="D58" s="6"/>
      <c r="E58" s="6"/>
      <c r="F58" s="6"/>
      <c r="G58" s="6"/>
      <c r="H58" s="6"/>
      <c r="I58" s="6"/>
      <c r="J58" s="6"/>
    </row>
    <row r="59" spans="2:10" ht="10.5">
      <c r="B59" s="43"/>
      <c r="C59" s="6"/>
      <c r="D59" s="6"/>
      <c r="E59" s="6"/>
      <c r="F59" s="6"/>
      <c r="G59" s="6"/>
      <c r="H59" s="6"/>
      <c r="I59" s="6"/>
      <c r="J59" s="6"/>
    </row>
    <row r="60" spans="2:10" ht="10.5">
      <c r="B60" s="43"/>
      <c r="C60" s="12"/>
      <c r="D60" s="12" t="s">
        <v>19</v>
      </c>
      <c r="E60" s="6"/>
      <c r="F60" s="6"/>
      <c r="G60" s="6"/>
      <c r="H60" s="6"/>
      <c r="I60" s="6"/>
      <c r="J60" s="6"/>
    </row>
    <row r="61" spans="2:10" ht="10.5">
      <c r="B61" s="43"/>
      <c r="C61" s="12" t="s">
        <v>21</v>
      </c>
      <c r="D61" s="51"/>
      <c r="E61" s="6"/>
      <c r="F61" s="6"/>
      <c r="G61" s="6"/>
      <c r="H61" s="6"/>
      <c r="I61" s="6"/>
      <c r="J61" s="6"/>
    </row>
    <row r="62" spans="2:10" ht="10.5">
      <c r="B62" s="43"/>
      <c r="C62" s="12" t="s">
        <v>29</v>
      </c>
      <c r="D62" s="27">
        <f>SUM(E39:L39)</f>
        <v>1035.3903265334548</v>
      </c>
      <c r="E62" s="6"/>
      <c r="F62" s="6"/>
      <c r="G62" s="6"/>
      <c r="H62" s="6"/>
      <c r="I62" s="6"/>
      <c r="J62" s="6"/>
    </row>
    <row r="63" spans="2:10" ht="10.5">
      <c r="B63" s="43"/>
      <c r="C63" s="12" t="s">
        <v>20</v>
      </c>
      <c r="D63" s="27">
        <f>L40</f>
        <v>2163.0851051731483</v>
      </c>
      <c r="E63" s="6"/>
      <c r="F63" s="6"/>
      <c r="G63" s="6"/>
      <c r="H63" s="6"/>
      <c r="I63" s="6"/>
      <c r="J63" s="6"/>
    </row>
    <row r="64" spans="2:10" ht="10.5">
      <c r="B64" s="43"/>
      <c r="C64" s="5" t="s">
        <v>28</v>
      </c>
      <c r="D64" s="35">
        <f>SUM(D62:D63)</f>
        <v>3198.475431706603</v>
      </c>
      <c r="E64" s="6"/>
      <c r="F64" s="6"/>
      <c r="G64" s="6"/>
      <c r="H64" s="6"/>
      <c r="I64" s="6"/>
      <c r="J64" s="6"/>
    </row>
    <row r="65" spans="2:10" ht="10.5">
      <c r="B65" s="43"/>
      <c r="C65" s="12" t="s">
        <v>27</v>
      </c>
      <c r="D65" s="27">
        <f>-D53</f>
        <v>-1184</v>
      </c>
      <c r="E65" s="6"/>
      <c r="F65" s="50" t="s">
        <v>26</v>
      </c>
      <c r="G65" s="49"/>
      <c r="H65" s="6"/>
      <c r="I65" s="6"/>
      <c r="J65" s="6"/>
    </row>
    <row r="66" spans="2:10" ht="10.5">
      <c r="B66" s="43"/>
      <c r="C66" s="5" t="s">
        <v>24</v>
      </c>
      <c r="D66" s="35">
        <f>D64+D65</f>
        <v>2014.475431706603</v>
      </c>
      <c r="E66" s="6"/>
      <c r="F66" s="48">
        <f>D66-D12</f>
        <v>-1017.9212376714181</v>
      </c>
      <c r="G66" s="47">
        <f>F66/D12</f>
        <v>-0.3356820853784295</v>
      </c>
      <c r="H66" s="6"/>
      <c r="I66" s="6"/>
      <c r="J66" s="6"/>
    </row>
    <row r="67" spans="2:10" ht="10.5">
      <c r="B67" s="43"/>
      <c r="C67" s="6"/>
      <c r="D67" s="6"/>
      <c r="E67" s="6"/>
      <c r="F67" s="6"/>
      <c r="G67" s="6"/>
      <c r="H67" s="6"/>
      <c r="I67" s="6"/>
      <c r="J67" s="6"/>
    </row>
    <row r="68" spans="2:10" ht="10.5">
      <c r="B68" s="43"/>
      <c r="C68" s="6"/>
      <c r="D68" s="6"/>
      <c r="E68" s="6"/>
      <c r="F68" s="6"/>
      <c r="G68" s="6"/>
      <c r="H68" s="6"/>
      <c r="I68" s="6"/>
      <c r="J68" s="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A1" sqref="A1:IV2"/>
    </sheetView>
  </sheetViews>
  <sheetFormatPr defaultColWidth="9.00390625" defaultRowHeight="12"/>
  <cols>
    <col min="3" max="3" width="33.00390625" style="0" customWidth="1"/>
    <col min="4" max="8" width="12.75390625" style="0" customWidth="1"/>
  </cols>
  <sheetData>
    <row r="1" spans="4:8" ht="11.25" thickBot="1">
      <c r="D1" s="80"/>
      <c r="E1" s="80"/>
      <c r="F1" s="80"/>
      <c r="G1" s="80"/>
      <c r="H1" s="80"/>
    </row>
    <row r="2" spans="2:8" ht="13.5" customHeight="1" thickBot="1">
      <c r="B2" s="62" t="s">
        <v>55</v>
      </c>
      <c r="C2" s="79" t="s">
        <v>54</v>
      </c>
      <c r="D2" s="78">
        <v>2003</v>
      </c>
      <c r="E2" s="77">
        <v>2004</v>
      </c>
      <c r="F2" s="77">
        <v>2005</v>
      </c>
      <c r="G2" s="77">
        <v>2006</v>
      </c>
      <c r="H2" s="77">
        <v>2007</v>
      </c>
    </row>
    <row r="3" spans="2:8" ht="13.5" customHeight="1" thickBot="1">
      <c r="B3" s="69">
        <v>1</v>
      </c>
      <c r="C3" s="76" t="s">
        <v>53</v>
      </c>
      <c r="D3" s="66">
        <v>500</v>
      </c>
      <c r="E3" s="66">
        <v>522</v>
      </c>
      <c r="F3" s="66">
        <v>533</v>
      </c>
      <c r="G3" s="66">
        <v>574</v>
      </c>
      <c r="H3" s="66">
        <v>616</v>
      </c>
    </row>
    <row r="4" spans="2:8" ht="13.5" customHeight="1" thickBot="1">
      <c r="B4" s="65">
        <v>2</v>
      </c>
      <c r="C4" s="64" t="s">
        <v>52</v>
      </c>
      <c r="D4" s="63">
        <v>1125</v>
      </c>
      <c r="E4" s="63">
        <v>1197</v>
      </c>
      <c r="F4" s="63">
        <v>1270</v>
      </c>
      <c r="G4" s="63">
        <v>1306</v>
      </c>
      <c r="H4" s="63">
        <v>1342</v>
      </c>
    </row>
    <row r="5" spans="2:8" ht="13.5" customHeight="1" thickBot="1">
      <c r="B5" s="65">
        <v>3</v>
      </c>
      <c r="C5" s="64" t="s">
        <v>51</v>
      </c>
      <c r="D5" s="63">
        <v>-1445</v>
      </c>
      <c r="E5" s="66">
        <v>-722</v>
      </c>
      <c r="F5" s="66">
        <v>-722</v>
      </c>
      <c r="G5" s="66">
        <v>-361</v>
      </c>
      <c r="H5" s="66">
        <v>-361</v>
      </c>
    </row>
    <row r="6" spans="2:8" ht="13.5" customHeight="1" thickBot="1">
      <c r="B6" s="65">
        <v>4</v>
      </c>
      <c r="C6" s="64" t="s">
        <v>50</v>
      </c>
      <c r="D6" s="66">
        <v>203</v>
      </c>
      <c r="E6" s="66">
        <v>-450</v>
      </c>
      <c r="F6" s="66">
        <v>-314</v>
      </c>
      <c r="G6" s="66">
        <v>-399</v>
      </c>
      <c r="H6" s="66">
        <v>-420</v>
      </c>
    </row>
    <row r="7" spans="2:8" ht="13.5" customHeight="1" thickBot="1">
      <c r="B7" s="75">
        <v>5</v>
      </c>
      <c r="C7" s="74" t="s">
        <v>49</v>
      </c>
      <c r="D7" s="73">
        <f>D3+D4+D5+D6</f>
        <v>383</v>
      </c>
      <c r="E7" s="73">
        <f>E3+E4+E5+E6</f>
        <v>547</v>
      </c>
      <c r="F7" s="73">
        <f>F3+F4+F5+F6</f>
        <v>767</v>
      </c>
      <c r="G7" s="73">
        <f>G3+G4+G5+G6</f>
        <v>1120</v>
      </c>
      <c r="H7" s="73">
        <f>H3+H4+H5+H6</f>
        <v>1177</v>
      </c>
    </row>
    <row r="8" spans="2:8" ht="13.5" customHeight="1" thickBot="1">
      <c r="B8" s="69">
        <v>6</v>
      </c>
      <c r="C8" s="131" t="s">
        <v>48</v>
      </c>
      <c r="D8" s="132"/>
      <c r="E8" s="132"/>
      <c r="F8" s="132"/>
      <c r="G8" s="133"/>
      <c r="H8" s="67">
        <f>H7*1.025/(0.12-0.025)</f>
        <v>12699.210526315788</v>
      </c>
    </row>
    <row r="9" spans="2:8" ht="13.5" customHeight="1">
      <c r="B9" s="62"/>
      <c r="C9" s="134"/>
      <c r="D9" s="134"/>
      <c r="E9" s="62"/>
      <c r="F9" s="62"/>
      <c r="G9" s="62"/>
      <c r="H9" s="62"/>
    </row>
    <row r="10" spans="2:8" ht="13.5" customHeight="1" thickBot="1">
      <c r="B10" s="62"/>
      <c r="C10" s="135" t="s">
        <v>47</v>
      </c>
      <c r="D10" s="135"/>
      <c r="E10" s="135"/>
      <c r="F10" s="135"/>
      <c r="G10" s="135"/>
      <c r="H10" s="135"/>
    </row>
    <row r="11" spans="2:8" ht="13.5" customHeight="1" thickBot="1">
      <c r="B11" s="69">
        <v>7</v>
      </c>
      <c r="C11" s="68" t="s">
        <v>46</v>
      </c>
      <c r="D11" s="67">
        <f>NPV(0.12,D7:H7)</f>
        <v>2703.606443801782</v>
      </c>
      <c r="E11" s="62"/>
      <c r="F11" s="62"/>
      <c r="G11" s="62"/>
      <c r="H11" s="62"/>
    </row>
    <row r="12" spans="2:8" ht="13.5" customHeight="1" thickBot="1">
      <c r="B12" s="65">
        <v>8</v>
      </c>
      <c r="C12" s="64" t="s">
        <v>45</v>
      </c>
      <c r="D12" s="63">
        <f>H8/1.12^5</f>
        <v>7205.873099055905</v>
      </c>
      <c r="E12" s="62"/>
      <c r="F12" s="62"/>
      <c r="G12" s="62"/>
      <c r="H12" s="62"/>
    </row>
    <row r="13" spans="2:8" ht="13.5" customHeight="1" thickBot="1">
      <c r="B13" s="65">
        <v>9</v>
      </c>
      <c r="C13" s="64" t="s">
        <v>44</v>
      </c>
      <c r="D13" s="63">
        <f>D11+D12</f>
        <v>9909.479542857687</v>
      </c>
      <c r="E13" s="62"/>
      <c r="F13" s="62"/>
      <c r="G13" s="62"/>
      <c r="H13" s="62"/>
    </row>
    <row r="14" spans="2:8" ht="13.5" customHeight="1" thickBot="1">
      <c r="B14" s="65">
        <v>10</v>
      </c>
      <c r="C14" s="64" t="s">
        <v>43</v>
      </c>
      <c r="D14" s="66">
        <v>280</v>
      </c>
      <c r="E14" s="62"/>
      <c r="F14" s="62"/>
      <c r="G14" s="62"/>
      <c r="H14" s="62"/>
    </row>
    <row r="15" spans="2:8" ht="13.5" customHeight="1" thickBot="1">
      <c r="B15" s="65">
        <v>11</v>
      </c>
      <c r="C15" s="64" t="s">
        <v>25</v>
      </c>
      <c r="D15" s="63">
        <v>-3628</v>
      </c>
      <c r="E15" s="62"/>
      <c r="F15" s="62"/>
      <c r="G15" s="62"/>
      <c r="H15" s="62"/>
    </row>
    <row r="16" spans="2:8" ht="13.5" customHeight="1" thickBot="1">
      <c r="B16" s="61">
        <v>12</v>
      </c>
      <c r="C16" s="60" t="s">
        <v>24</v>
      </c>
      <c r="D16" s="59">
        <f>D13+D14+D15</f>
        <v>6561.479542857687</v>
      </c>
      <c r="E16" s="58"/>
      <c r="F16" s="58"/>
      <c r="G16" s="58"/>
      <c r="H16" s="58"/>
    </row>
    <row r="19" ht="11.25" thickBot="1"/>
    <row r="20" spans="2:5" ht="13.5" customHeight="1" thickBot="1">
      <c r="B20" s="62"/>
      <c r="C20" s="83" t="s">
        <v>60</v>
      </c>
      <c r="D20" s="82">
        <v>196</v>
      </c>
      <c r="E20" s="79"/>
    </row>
    <row r="21" spans="2:8" ht="13.5" customHeight="1" thickBot="1">
      <c r="B21" s="69">
        <v>6</v>
      </c>
      <c r="C21" s="68" t="s">
        <v>59</v>
      </c>
      <c r="D21" s="81">
        <v>2115</v>
      </c>
      <c r="E21" s="136" t="s">
        <v>58</v>
      </c>
      <c r="F21" s="137"/>
      <c r="G21" s="137"/>
      <c r="H21" s="137"/>
    </row>
    <row r="22" spans="2:5" ht="13.5" customHeight="1" thickBot="1">
      <c r="B22" s="62"/>
      <c r="C22" s="132" t="s">
        <v>57</v>
      </c>
      <c r="D22" s="132"/>
      <c r="E22" s="79"/>
    </row>
    <row r="23" spans="2:5" ht="13.5" customHeight="1" thickBot="1">
      <c r="B23" s="69">
        <v>7</v>
      </c>
      <c r="C23" s="68" t="s">
        <v>46</v>
      </c>
      <c r="D23" s="67">
        <v>2704</v>
      </c>
      <c r="E23" s="79"/>
    </row>
    <row r="24" spans="2:5" ht="13.5" customHeight="1" thickBot="1">
      <c r="B24" s="65">
        <v>8</v>
      </c>
      <c r="C24" s="64" t="s">
        <v>45</v>
      </c>
      <c r="D24" s="63">
        <v>1200</v>
      </c>
      <c r="E24" s="79"/>
    </row>
    <row r="25" spans="2:5" ht="13.5" customHeight="1" thickBot="1">
      <c r="B25" s="65">
        <v>9</v>
      </c>
      <c r="C25" s="64" t="s">
        <v>56</v>
      </c>
      <c r="D25" s="63">
        <f>D23+D24</f>
        <v>3904</v>
      </c>
      <c r="E25" s="79"/>
    </row>
    <row r="26" spans="2:5" ht="13.5" customHeight="1" thickBot="1">
      <c r="B26" s="65">
        <v>10</v>
      </c>
      <c r="C26" s="64" t="s">
        <v>43</v>
      </c>
      <c r="D26" s="66">
        <v>280</v>
      </c>
      <c r="E26" s="79"/>
    </row>
    <row r="27" spans="2:5" ht="13.5" customHeight="1" thickBot="1">
      <c r="B27" s="65">
        <v>11</v>
      </c>
      <c r="C27" s="64" t="s">
        <v>25</v>
      </c>
      <c r="D27" s="63">
        <v>-3628</v>
      </c>
      <c r="E27" s="79"/>
    </row>
    <row r="28" spans="2:5" ht="13.5" customHeight="1" thickBot="1">
      <c r="B28" s="65">
        <v>12</v>
      </c>
      <c r="C28" s="64" t="s">
        <v>24</v>
      </c>
      <c r="D28" s="59">
        <f>D25+D26+D27</f>
        <v>556</v>
      </c>
      <c r="E28" s="79"/>
    </row>
  </sheetData>
  <sheetProtection/>
  <mergeCells count="5">
    <mergeCell ref="C8:G8"/>
    <mergeCell ref="C9:D9"/>
    <mergeCell ref="C10:H10"/>
    <mergeCell ref="C22:D22"/>
    <mergeCell ref="E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K7"/>
  <sheetViews>
    <sheetView zoomScalePageLayoutView="0" workbookViewId="0" topLeftCell="A1">
      <selection activeCell="C10" sqref="C10"/>
    </sheetView>
  </sheetViews>
  <sheetFormatPr defaultColWidth="9.00390625" defaultRowHeight="12"/>
  <cols>
    <col min="3" max="3" width="34.25390625" style="0" customWidth="1"/>
  </cols>
  <sheetData>
    <row r="2" ht="11.25" thickBot="1"/>
    <row r="3" spans="3:11" ht="12.75" thickBot="1">
      <c r="C3" s="93"/>
      <c r="D3" s="92">
        <v>1995</v>
      </c>
      <c r="E3" s="91">
        <v>1996</v>
      </c>
      <c r="F3" s="91">
        <v>1997</v>
      </c>
      <c r="G3" s="91">
        <v>1998</v>
      </c>
      <c r="H3" s="91">
        <v>1999</v>
      </c>
      <c r="I3" s="91">
        <v>2000</v>
      </c>
      <c r="J3" s="91">
        <v>2001</v>
      </c>
      <c r="K3" s="91">
        <v>2002</v>
      </c>
    </row>
    <row r="4" spans="3:11" ht="13.5" customHeight="1" thickBot="1">
      <c r="C4" s="72" t="s">
        <v>64</v>
      </c>
      <c r="D4" s="90">
        <v>127</v>
      </c>
      <c r="E4" s="89">
        <v>132</v>
      </c>
      <c r="F4" s="89">
        <v>149</v>
      </c>
      <c r="G4" s="89">
        <v>91</v>
      </c>
      <c r="H4" s="89">
        <v>150</v>
      </c>
      <c r="I4" s="89">
        <v>132</v>
      </c>
      <c r="J4" s="89">
        <v>146</v>
      </c>
      <c r="K4" s="89">
        <v>147</v>
      </c>
    </row>
    <row r="5" spans="3:11" ht="13.5" customHeight="1" thickBot="1">
      <c r="C5" s="86" t="s">
        <v>63</v>
      </c>
      <c r="D5" s="88"/>
      <c r="E5" s="87">
        <f aca="true" t="shared" si="0" ref="E5:K5">E4/D4-1</f>
        <v>0.03937007874015741</v>
      </c>
      <c r="F5" s="87">
        <f t="shared" si="0"/>
        <v>0.1287878787878789</v>
      </c>
      <c r="G5" s="87">
        <f t="shared" si="0"/>
        <v>-0.38926174496644295</v>
      </c>
      <c r="H5" s="87">
        <f t="shared" si="0"/>
        <v>0.6483516483516483</v>
      </c>
      <c r="I5" s="87">
        <f t="shared" si="0"/>
        <v>-0.12</v>
      </c>
      <c r="J5" s="87">
        <f t="shared" si="0"/>
        <v>0.10606060606060597</v>
      </c>
      <c r="K5" s="87">
        <f t="shared" si="0"/>
        <v>0.006849315068493178</v>
      </c>
    </row>
    <row r="6" spans="3:11" ht="13.5" customHeight="1" thickBot="1">
      <c r="C6" s="86" t="s">
        <v>62</v>
      </c>
      <c r="D6" s="85">
        <f>AVERAGE(E5:K5)</f>
        <v>0.06002254029176297</v>
      </c>
      <c r="E6" s="84"/>
      <c r="F6" s="84"/>
      <c r="G6" s="84"/>
      <c r="H6" s="84"/>
      <c r="I6" s="84"/>
      <c r="J6" s="84"/>
      <c r="K6" s="84"/>
    </row>
    <row r="7" spans="3:11" ht="13.5" customHeight="1" thickBot="1">
      <c r="C7" s="86" t="s">
        <v>61</v>
      </c>
      <c r="D7" s="85">
        <f>(K4/D4)^(1/7)-1</f>
        <v>0.02111198446789242</v>
      </c>
      <c r="E7" s="84"/>
      <c r="F7" s="84"/>
      <c r="G7" s="84"/>
      <c r="H7" s="84"/>
      <c r="I7" s="84"/>
      <c r="J7" s="84"/>
      <c r="K7" s="8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F11"/>
  <sheetViews>
    <sheetView zoomScalePageLayoutView="0" workbookViewId="0" topLeftCell="A1">
      <selection activeCell="C17" sqref="C17"/>
    </sheetView>
  </sheetViews>
  <sheetFormatPr defaultColWidth="9.00390625" defaultRowHeight="12"/>
  <cols>
    <col min="3" max="3" width="53.625" style="0" customWidth="1"/>
    <col min="4" max="4" width="16.00390625" style="0" customWidth="1"/>
    <col min="5" max="6" width="18.00390625" style="0" customWidth="1"/>
  </cols>
  <sheetData>
    <row r="2" ht="11.25" thickBot="1"/>
    <row r="3" spans="3:6" ht="15" customHeight="1" thickBot="1">
      <c r="C3" s="109" t="s">
        <v>91</v>
      </c>
      <c r="D3" s="108" t="s">
        <v>90</v>
      </c>
      <c r="E3" s="97" t="s">
        <v>89</v>
      </c>
      <c r="F3" s="97" t="s">
        <v>88</v>
      </c>
    </row>
    <row r="4" spans="3:6" ht="15" customHeight="1" thickBot="1">
      <c r="C4" s="107" t="s">
        <v>87</v>
      </c>
      <c r="D4" s="106">
        <v>37561</v>
      </c>
      <c r="E4" s="105" t="s">
        <v>86</v>
      </c>
      <c r="F4" s="105" t="s">
        <v>85</v>
      </c>
    </row>
    <row r="5" spans="3:6" ht="15" customHeight="1" thickBot="1">
      <c r="C5" s="103" t="s">
        <v>84</v>
      </c>
      <c r="D5" s="104">
        <v>37165</v>
      </c>
      <c r="E5" s="94" t="s">
        <v>83</v>
      </c>
      <c r="F5" s="94" t="s">
        <v>74</v>
      </c>
    </row>
    <row r="6" spans="3:6" ht="15" customHeight="1" thickBot="1">
      <c r="C6" s="103" t="s">
        <v>82</v>
      </c>
      <c r="D6" s="104">
        <v>37043</v>
      </c>
      <c r="E6" s="94" t="s">
        <v>81</v>
      </c>
      <c r="F6" s="94" t="s">
        <v>80</v>
      </c>
    </row>
    <row r="7" spans="3:6" ht="15" customHeight="1" thickBot="1">
      <c r="C7" s="103" t="s">
        <v>79</v>
      </c>
      <c r="D7" s="104">
        <v>36892</v>
      </c>
      <c r="E7" s="94" t="s">
        <v>78</v>
      </c>
      <c r="F7" s="94" t="s">
        <v>77</v>
      </c>
    </row>
    <row r="8" spans="3:6" ht="15" customHeight="1" thickBot="1">
      <c r="C8" s="103" t="s">
        <v>76</v>
      </c>
      <c r="D8" s="104">
        <v>36069</v>
      </c>
      <c r="E8" s="94" t="s">
        <v>75</v>
      </c>
      <c r="F8" s="94" t="s">
        <v>74</v>
      </c>
    </row>
    <row r="9" spans="3:6" ht="15" customHeight="1" thickBot="1">
      <c r="C9" s="103" t="s">
        <v>73</v>
      </c>
      <c r="D9" s="102">
        <v>34731</v>
      </c>
      <c r="E9" s="101" t="s">
        <v>72</v>
      </c>
      <c r="F9" s="101" t="s">
        <v>71</v>
      </c>
    </row>
    <row r="10" spans="3:6" ht="15" customHeight="1">
      <c r="C10" s="100"/>
      <c r="D10" s="99" t="s">
        <v>70</v>
      </c>
      <c r="E10" s="98" t="s">
        <v>69</v>
      </c>
      <c r="F10" s="97" t="s">
        <v>68</v>
      </c>
    </row>
    <row r="11" spans="3:6" ht="15" customHeight="1" thickBot="1">
      <c r="C11" s="70"/>
      <c r="D11" s="96" t="s">
        <v>67</v>
      </c>
      <c r="E11" s="95" t="s">
        <v>66</v>
      </c>
      <c r="F11" s="9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E7"/>
  <sheetViews>
    <sheetView zoomScalePageLayoutView="0" workbookViewId="0" topLeftCell="A1">
      <selection activeCell="B27" sqref="B27"/>
    </sheetView>
  </sheetViews>
  <sheetFormatPr defaultColWidth="9.00390625" defaultRowHeight="12"/>
  <cols>
    <col min="4" max="4" width="46.625" style="0" customWidth="1"/>
  </cols>
  <sheetData>
    <row r="1" ht="11.25" thickBot="1"/>
    <row r="2" spans="3:5" ht="13.5" customHeight="1" thickBot="1">
      <c r="C2" s="110">
        <v>1</v>
      </c>
      <c r="D2" s="71" t="s">
        <v>96</v>
      </c>
      <c r="E2" s="69">
        <v>28.6</v>
      </c>
    </row>
    <row r="3" spans="3:5" ht="13.5" customHeight="1" thickBot="1">
      <c r="C3" s="65">
        <v>2</v>
      </c>
      <c r="D3" s="64" t="s">
        <v>95</v>
      </c>
      <c r="E3" s="66">
        <v>10</v>
      </c>
    </row>
    <row r="4" spans="3:5" ht="13.5" customHeight="1" thickBot="1">
      <c r="C4" s="65">
        <v>3</v>
      </c>
      <c r="D4" s="64" t="s">
        <v>94</v>
      </c>
      <c r="E4" s="66">
        <f>E2*E3</f>
        <v>286</v>
      </c>
    </row>
    <row r="5" spans="3:5" ht="13.5" customHeight="1" thickBot="1">
      <c r="C5" s="65">
        <v>4</v>
      </c>
      <c r="D5" s="64" t="s">
        <v>93</v>
      </c>
      <c r="E5" s="66">
        <v>23.1</v>
      </c>
    </row>
    <row r="6" spans="3:5" ht="13.5" customHeight="1" thickBot="1">
      <c r="C6" s="65">
        <v>5</v>
      </c>
      <c r="D6" s="64" t="s">
        <v>92</v>
      </c>
      <c r="E6" s="66">
        <v>115.6</v>
      </c>
    </row>
    <row r="7" spans="3:5" ht="13.5" customHeight="1" thickBot="1">
      <c r="C7" s="65">
        <v>6</v>
      </c>
      <c r="D7" s="64" t="s">
        <v>24</v>
      </c>
      <c r="E7" s="66">
        <f>E4+E5-E6</f>
        <v>193.50000000000003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C23" sqref="C23"/>
    </sheetView>
  </sheetViews>
  <sheetFormatPr defaultColWidth="9.00390625" defaultRowHeight="12"/>
  <cols>
    <col min="2" max="2" width="34.25390625" style="0" customWidth="1"/>
    <col min="9" max="9" width="20.75390625" style="0" customWidth="1"/>
  </cols>
  <sheetData>
    <row r="2" ht="11.25" thickBot="1"/>
    <row r="3" spans="2:9" ht="23.25" thickBot="1">
      <c r="B3" s="122" t="s">
        <v>99</v>
      </c>
      <c r="C3" s="121">
        <v>0</v>
      </c>
      <c r="D3" s="120">
        <v>1</v>
      </c>
      <c r="E3" s="120">
        <v>2</v>
      </c>
      <c r="F3" s="120">
        <v>3</v>
      </c>
      <c r="G3" s="120">
        <v>4</v>
      </c>
      <c r="H3" s="120">
        <v>5</v>
      </c>
      <c r="I3" s="120" t="s">
        <v>98</v>
      </c>
    </row>
    <row r="4" spans="2:9" ht="12" thickBot="1">
      <c r="B4" s="119" t="s">
        <v>0</v>
      </c>
      <c r="C4" s="118">
        <v>-37.9</v>
      </c>
      <c r="D4" s="117">
        <v>3.5</v>
      </c>
      <c r="E4" s="117">
        <v>12.6</v>
      </c>
      <c r="F4" s="117">
        <v>10.7</v>
      </c>
      <c r="G4" s="117">
        <v>8.5</v>
      </c>
      <c r="H4" s="117">
        <v>7.1</v>
      </c>
      <c r="I4" s="117">
        <v>3.8</v>
      </c>
    </row>
    <row r="5" spans="2:9" ht="13.5" thickBot="1">
      <c r="B5" s="116" t="s">
        <v>97</v>
      </c>
      <c r="C5" s="115">
        <f>NPV(0.1495,D8:H8)+C4</f>
        <v>-7.975502770612508</v>
      </c>
      <c r="D5" s="114"/>
      <c r="E5" s="114"/>
      <c r="F5" s="114"/>
      <c r="G5" s="114"/>
      <c r="H5" s="114"/>
      <c r="I5" s="114"/>
    </row>
    <row r="6" ht="12.75">
      <c r="B6" s="113"/>
    </row>
    <row r="8" spans="2:9" ht="12.75">
      <c r="B8" s="111"/>
      <c r="C8" s="112">
        <v>-37.9</v>
      </c>
      <c r="D8" s="112">
        <v>3.5</v>
      </c>
      <c r="E8" s="112">
        <v>12.6</v>
      </c>
      <c r="F8" s="112">
        <v>10.7</v>
      </c>
      <c r="G8" s="112">
        <v>8.5</v>
      </c>
      <c r="H8" s="112">
        <f>H4+I4</f>
        <v>10.899999999999999</v>
      </c>
      <c r="I8" s="111"/>
    </row>
    <row r="11" ht="11.25" thickBot="1"/>
    <row r="12" spans="2:5" ht="13.5" thickBot="1">
      <c r="B12" s="123"/>
      <c r="C12" s="138" t="s">
        <v>100</v>
      </c>
      <c r="D12" s="139"/>
      <c r="E12" s="140"/>
    </row>
    <row r="13" spans="2:5" ht="13.5" thickBot="1">
      <c r="B13" s="124" t="s">
        <v>101</v>
      </c>
      <c r="C13" s="125">
        <v>0</v>
      </c>
      <c r="D13" s="126">
        <v>0.07</v>
      </c>
      <c r="E13" s="126">
        <v>0.15</v>
      </c>
    </row>
    <row r="14" spans="2:5" ht="13.5" thickBot="1">
      <c r="B14" s="127">
        <v>0.07</v>
      </c>
      <c r="C14" s="128">
        <v>2.4</v>
      </c>
      <c r="D14" s="128">
        <v>7.5</v>
      </c>
      <c r="E14" s="128">
        <v>15.2</v>
      </c>
    </row>
    <row r="15" spans="2:5" ht="13.5" thickBot="1">
      <c r="B15" s="129">
        <v>0.13</v>
      </c>
      <c r="C15" s="130">
        <v>2.5</v>
      </c>
      <c r="D15" s="130">
        <v>7.6</v>
      </c>
      <c r="E15" s="130">
        <v>15.2</v>
      </c>
    </row>
    <row r="16" spans="2:5" ht="13.5" thickBot="1">
      <c r="B16" s="129">
        <v>0.2</v>
      </c>
      <c r="C16" s="130">
        <v>2.8</v>
      </c>
      <c r="D16" s="130">
        <v>7.2</v>
      </c>
      <c r="E16" s="130">
        <v>13.6</v>
      </c>
    </row>
  </sheetData>
  <sheetProtection/>
  <mergeCells count="1">
    <mergeCell ref="C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created xsi:type="dcterms:W3CDTF">2002-02-09T09:48:41Z</dcterms:created>
  <dcterms:modified xsi:type="dcterms:W3CDTF">2015-05-28T17:47:18Z</dcterms:modified>
  <cp:category/>
  <cp:version/>
  <cp:contentType/>
  <cp:contentStatus/>
</cp:coreProperties>
</file>