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0380" activeTab="0"/>
  </bookViews>
  <sheets>
    <sheet name="Incongruenci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<sst xmlns="http://schemas.openxmlformats.org/spreadsheetml/2006/main" count="67" uniqueCount="40">
  <si>
    <t>FCF</t>
  </si>
  <si>
    <t>Ke</t>
  </si>
  <si>
    <t>WACC</t>
  </si>
  <si>
    <t>2003-2008</t>
  </si>
  <si>
    <t>g</t>
  </si>
  <si>
    <t>Minus debt</t>
  </si>
  <si>
    <t>Equity value</t>
  </si>
  <si>
    <t>Residual value</t>
  </si>
  <si>
    <t>Sum</t>
  </si>
  <si>
    <t>WACC calculated with 4,5,6,8,10</t>
  </si>
  <si>
    <t>Implicit Ke in a WACC of 10%</t>
  </si>
  <si>
    <t>WACC used in the valuation</t>
  </si>
  <si>
    <t>PV of FCF with 12</t>
  </si>
  <si>
    <t>discount factor in 12</t>
  </si>
  <si>
    <t>PV of residual value with 12</t>
  </si>
  <si>
    <t>Present value in 2002:</t>
  </si>
  <si>
    <t xml:space="preserve">using WACC </t>
  </si>
  <si>
    <t>E increase</t>
  </si>
  <si>
    <t>D increase</t>
  </si>
  <si>
    <t>ECF increase</t>
  </si>
  <si>
    <t>BIEN HECHO:</t>
  </si>
  <si>
    <t>2003-2010</t>
  </si>
  <si>
    <t>Implicit Ke in WACC of line 12</t>
  </si>
  <si>
    <t>FCF increase</t>
  </si>
  <si>
    <t>Interest expense increase</t>
  </si>
  <si>
    <t>difference</t>
  </si>
  <si>
    <t>E market</t>
  </si>
  <si>
    <t>WACC=</t>
  </si>
  <si>
    <t>D/(D+E)</t>
  </si>
  <si>
    <t>Equity value (E)</t>
  </si>
  <si>
    <t>Debt value (D)</t>
  </si>
  <si>
    <t>∆D =  ECF - FCF + Int (1-T)</t>
  </si>
  <si>
    <t>ECF</t>
  </si>
  <si>
    <t>Interest expenses</t>
  </si>
  <si>
    <t>D</t>
  </si>
  <si>
    <t>Effective tax rate</t>
  </si>
  <si>
    <t>Kd</t>
  </si>
  <si>
    <t>WACC using lines 4,5,6,8,10</t>
  </si>
  <si>
    <t>CFac</t>
  </si>
  <si>
    <t>E = VA(CFac; Ke)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</si>
</sst>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d/m/yy\ h:mm"/>
    <numFmt numFmtId="181" formatCode="0.000000"/>
    <numFmt numFmtId="182" formatCode="0.0000%"/>
    <numFmt numFmtId="183" formatCode="0.0000"/>
    <numFmt numFmtId="184" formatCode="0.0000000"/>
    <numFmt numFmtId="185" formatCode="0.000%"/>
    <numFmt numFmtId="186" formatCode="#,##0.0"/>
    <numFmt numFmtId="187" formatCode="0.0%"/>
    <numFmt numFmtId="188" formatCode="#,##0.0&quot;Pts&quot;;[Red]\-#,##0.0&quot;Pts&quot;"/>
    <numFmt numFmtId="189" formatCode="0.000"/>
    <numFmt numFmtId="190" formatCode="#,##0.000"/>
    <numFmt numFmtId="191" formatCode="#,##0.0000"/>
    <numFmt numFmtId="192" formatCode="0.0"/>
    <numFmt numFmtId="193" formatCode="#,##0.00000000000"/>
    <numFmt numFmtId="194" formatCode="#,##0.0000000000"/>
    <numFmt numFmtId="195" formatCode="#,##0.000000000"/>
    <numFmt numFmtId="196" formatCode="0.000000%"/>
    <numFmt numFmtId="197" formatCode="#,##0.00000"/>
    <numFmt numFmtId="198" formatCode="0.00000"/>
    <numFmt numFmtId="199" formatCode="0.0000000000000"/>
    <numFmt numFmtId="200" formatCode="0.000000000000"/>
    <numFmt numFmtId="201" formatCode="0.00000000000"/>
    <numFmt numFmtId="202" formatCode="0.0000000000"/>
    <numFmt numFmtId="203" formatCode="0.000000000"/>
    <numFmt numFmtId="204" formatCode="0.00000000"/>
    <numFmt numFmtId="205" formatCode="0.000000000000000%"/>
    <numFmt numFmtId="206" formatCode="0.00000000000000%"/>
    <numFmt numFmtId="207" formatCode="0.0000000000000%"/>
    <numFmt numFmtId="208" formatCode="0.000000000000%"/>
    <numFmt numFmtId="209" formatCode="0.00000000000%"/>
    <numFmt numFmtId="210" formatCode="0.0000000000%"/>
    <numFmt numFmtId="211" formatCode="0.000000000%"/>
    <numFmt numFmtId="212" formatCode="0.00000000%"/>
    <numFmt numFmtId="213" formatCode="0.0000000%"/>
    <numFmt numFmtId="214" formatCode="0.00000%"/>
    <numFmt numFmtId="215" formatCode="#,##0.000000000000"/>
    <numFmt numFmtId="216" formatCode="0.00_ ;[Red]\-0.00\ "/>
  </numFmts>
  <fonts count="43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9"/>
      <name val="Tms Rmn"/>
      <family val="0"/>
    </font>
    <font>
      <sz val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5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9" fontId="0" fillId="0" borderId="0" xfId="57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10" fontId="0" fillId="0" borderId="0" xfId="57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9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87" fontId="0" fillId="0" borderId="11" xfId="57" applyNumberFormat="1" applyFont="1" applyBorder="1" applyAlignment="1">
      <alignment horizontal="right"/>
    </xf>
    <xf numFmtId="10" fontId="0" fillId="0" borderId="11" xfId="57" applyNumberFormat="1" applyFont="1" applyBorder="1" applyAlignment="1">
      <alignment/>
    </xf>
    <xf numFmtId="1" fontId="0" fillId="0" borderId="11" xfId="57" applyNumberFormat="1" applyFont="1" applyBorder="1" applyAlignment="1">
      <alignment/>
    </xf>
    <xf numFmtId="0" fontId="0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87" fontId="0" fillId="0" borderId="11" xfId="57" applyNumberFormat="1" applyFont="1" applyBorder="1" applyAlignment="1">
      <alignment/>
    </xf>
    <xf numFmtId="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0" fontId="0" fillId="0" borderId="11" xfId="57" applyNumberFormat="1" applyFont="1" applyBorder="1" applyAlignment="1">
      <alignment horizontal="left"/>
    </xf>
    <xf numFmtId="10" fontId="0" fillId="0" borderId="0" xfId="57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57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0" fontId="0" fillId="0" borderId="10" xfId="0" applyNumberFormat="1" applyBorder="1" applyAlignment="1">
      <alignment/>
    </xf>
    <xf numFmtId="3" fontId="0" fillId="0" borderId="0" xfId="57" applyNumberFormat="1" applyFont="1" applyBorder="1" applyAlignment="1">
      <alignment horizontal="right"/>
    </xf>
    <xf numFmtId="186" fontId="0" fillId="0" borderId="11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186" fontId="0" fillId="0" borderId="17" xfId="0" applyNumberFormat="1" applyBorder="1" applyAlignment="1">
      <alignment/>
    </xf>
    <xf numFmtId="187" fontId="0" fillId="0" borderId="18" xfId="57" applyNumberFormat="1" applyFont="1" applyBorder="1" applyAlignment="1">
      <alignment/>
    </xf>
    <xf numFmtId="10" fontId="0" fillId="0" borderId="14" xfId="0" applyNumberFormat="1" applyBorder="1" applyAlignment="1">
      <alignment/>
    </xf>
    <xf numFmtId="187" fontId="0" fillId="0" borderId="19" xfId="0" applyNumberFormat="1" applyBorder="1" applyAlignment="1">
      <alignment/>
    </xf>
    <xf numFmtId="187" fontId="0" fillId="0" borderId="20" xfId="0" applyNumberFormat="1" applyBorder="1" applyAlignment="1">
      <alignment/>
    </xf>
    <xf numFmtId="186" fontId="0" fillId="0" borderId="11" xfId="0" applyNumberFormat="1" applyBorder="1" applyAlignment="1">
      <alignment/>
    </xf>
    <xf numFmtId="3" fontId="0" fillId="0" borderId="21" xfId="0" applyNumberFormat="1" applyFont="1" applyBorder="1" applyAlignment="1">
      <alignment horizontal="right"/>
    </xf>
    <xf numFmtId="187" fontId="0" fillId="0" borderId="11" xfId="0" applyNumberFormat="1" applyBorder="1" applyAlignment="1">
      <alignment/>
    </xf>
    <xf numFmtId="10" fontId="0" fillId="0" borderId="0" xfId="57" applyNumberFormat="1" applyFont="1" applyBorder="1" applyAlignment="1">
      <alignment horizontal="right"/>
    </xf>
    <xf numFmtId="216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selection activeCell="A6" sqref="A6"/>
    </sheetView>
  </sheetViews>
  <sheetFormatPr defaultColWidth="15.375" defaultRowHeight="12"/>
  <cols>
    <col min="1" max="1" width="11.25390625" style="0" customWidth="1"/>
    <col min="2" max="2" width="7.375" style="14" customWidth="1"/>
    <col min="3" max="3" width="30.25390625" style="0" customWidth="1"/>
    <col min="4" max="4" width="8.375" style="0" customWidth="1"/>
    <col min="5" max="5" width="7.375" style="0" customWidth="1"/>
    <col min="6" max="6" width="9.00390625" style="0" customWidth="1"/>
    <col min="7" max="7" width="9.25390625" style="0" customWidth="1"/>
    <col min="8" max="8" width="7.375" style="0" customWidth="1"/>
    <col min="9" max="9" width="8.75390625" style="0" customWidth="1"/>
    <col min="10" max="10" width="7.375" style="0" customWidth="1"/>
    <col min="11" max="12" width="8.00390625" style="0" customWidth="1"/>
  </cols>
  <sheetData>
    <row r="1" spans="1:10" ht="10.5">
      <c r="A1">
        <f>7.87*126</f>
        <v>991.62</v>
      </c>
      <c r="B1" s="13"/>
      <c r="C1" s="15">
        <f>126*14.8</f>
        <v>1864.8000000000002</v>
      </c>
      <c r="D1" s="15"/>
      <c r="E1" s="15"/>
      <c r="F1" s="15"/>
      <c r="G1" s="15"/>
      <c r="H1" s="15"/>
      <c r="I1" s="15"/>
      <c r="J1" s="15"/>
    </row>
    <row r="2" spans="2:13" ht="10.5">
      <c r="B2" s="16"/>
      <c r="C2" s="17"/>
      <c r="D2" s="17"/>
      <c r="E2" s="17"/>
      <c r="F2" s="17"/>
      <c r="G2" s="17"/>
      <c r="H2" s="17"/>
      <c r="I2" s="17"/>
      <c r="J2" s="17"/>
      <c r="K2" s="2"/>
      <c r="L2" s="2"/>
      <c r="M2" s="2"/>
    </row>
    <row r="3" spans="2:13" ht="10.5">
      <c r="B3" s="16"/>
      <c r="C3" s="17"/>
      <c r="D3" s="33">
        <v>2003</v>
      </c>
      <c r="E3" s="33">
        <f aca="true" t="shared" si="0" ref="E3:K3">D3+1</f>
        <v>2004</v>
      </c>
      <c r="F3" s="33">
        <f t="shared" si="0"/>
        <v>2005</v>
      </c>
      <c r="G3" s="33">
        <f t="shared" si="0"/>
        <v>2006</v>
      </c>
      <c r="H3" s="33">
        <f t="shared" si="0"/>
        <v>2007</v>
      </c>
      <c r="I3" s="33">
        <f t="shared" si="0"/>
        <v>2008</v>
      </c>
      <c r="J3" s="33">
        <f t="shared" si="0"/>
        <v>2009</v>
      </c>
      <c r="K3" s="33">
        <f t="shared" si="0"/>
        <v>2010</v>
      </c>
      <c r="L3" s="2"/>
      <c r="M3" s="2"/>
    </row>
    <row r="4" spans="2:14" ht="10.5">
      <c r="B4" s="16"/>
      <c r="C4" s="23" t="s">
        <v>0</v>
      </c>
      <c r="D4" s="26">
        <f aca="true" t="shared" si="1" ref="D4:N4">E17</f>
        <v>-290</v>
      </c>
      <c r="E4" s="26">
        <f t="shared" si="1"/>
        <v>-102</v>
      </c>
      <c r="F4" s="26">
        <f t="shared" si="1"/>
        <v>250</v>
      </c>
      <c r="G4" s="26">
        <f t="shared" si="1"/>
        <v>354</v>
      </c>
      <c r="H4" s="26">
        <f t="shared" si="1"/>
        <v>459</v>
      </c>
      <c r="I4" s="26">
        <f t="shared" si="1"/>
        <v>496</v>
      </c>
      <c r="J4" s="26">
        <f t="shared" si="1"/>
        <v>505.92</v>
      </c>
      <c r="K4" s="26">
        <f t="shared" si="1"/>
        <v>516.0384</v>
      </c>
      <c r="L4" s="26">
        <f t="shared" si="1"/>
        <v>526.3591680000001</v>
      </c>
      <c r="M4" s="26">
        <f t="shared" si="1"/>
        <v>536.88635136</v>
      </c>
      <c r="N4" s="26">
        <f t="shared" si="1"/>
        <v>547.6240783872</v>
      </c>
    </row>
    <row r="5" spans="1:13" ht="10.5">
      <c r="A5" s="20" t="s">
        <v>2</v>
      </c>
      <c r="B5" s="21">
        <v>0.1</v>
      </c>
      <c r="C5" s="24" t="s">
        <v>7</v>
      </c>
      <c r="D5" s="25"/>
      <c r="E5" s="25"/>
      <c r="F5" s="25"/>
      <c r="G5" s="25"/>
      <c r="H5" s="25"/>
      <c r="I5" s="60">
        <f>I4*(1+B6)/(B5-B6)</f>
        <v>6324</v>
      </c>
      <c r="K5" s="2"/>
      <c r="L5" s="2"/>
      <c r="M5" s="2"/>
    </row>
    <row r="6" spans="1:13" ht="10.5">
      <c r="A6" s="20" t="s">
        <v>4</v>
      </c>
      <c r="B6" s="22">
        <v>0.02</v>
      </c>
      <c r="C6" s="17"/>
      <c r="D6" s="17"/>
      <c r="E6" s="17"/>
      <c r="F6" s="17"/>
      <c r="G6" s="17"/>
      <c r="H6" s="17"/>
      <c r="I6" s="17"/>
      <c r="J6" s="17"/>
      <c r="K6" s="2"/>
      <c r="L6" s="2"/>
      <c r="M6" s="2"/>
    </row>
    <row r="7" spans="2:10" s="8" customFormat="1" ht="10.5">
      <c r="B7" s="16"/>
      <c r="C7" s="17"/>
      <c r="D7" s="17" t="s">
        <v>16</v>
      </c>
      <c r="E7" s="17"/>
      <c r="F7" s="17"/>
      <c r="G7" s="17"/>
      <c r="H7" s="17"/>
      <c r="I7" s="17"/>
      <c r="J7" s="17"/>
    </row>
    <row r="8" spans="2:10" ht="10.5">
      <c r="B8" s="16"/>
      <c r="C8" s="17" t="s">
        <v>15</v>
      </c>
      <c r="D8" s="47">
        <f>B5</f>
        <v>0.1</v>
      </c>
      <c r="E8" s="17"/>
      <c r="F8" s="17"/>
      <c r="G8" s="17"/>
      <c r="H8" s="17"/>
      <c r="I8" s="17" t="s">
        <v>26</v>
      </c>
      <c r="J8" s="35">
        <v>1490</v>
      </c>
    </row>
    <row r="9" spans="2:10" s="8" customFormat="1" ht="10.5">
      <c r="B9" s="16"/>
      <c r="C9" s="17" t="s">
        <v>3</v>
      </c>
      <c r="D9" s="34">
        <f>NPV(B5,D4:I4)</f>
        <v>646.6635357179342</v>
      </c>
      <c r="E9" s="17"/>
      <c r="F9" s="17"/>
      <c r="G9" s="17"/>
      <c r="H9" s="17"/>
      <c r="I9" s="17" t="s">
        <v>34</v>
      </c>
      <c r="J9" s="34">
        <f>D27</f>
        <v>1184</v>
      </c>
    </row>
    <row r="10" spans="2:10" ht="10.5">
      <c r="B10" s="16"/>
      <c r="C10" s="17" t="s">
        <v>7</v>
      </c>
      <c r="D10" s="34">
        <f>I5/(1+B$5)^6</f>
        <v>3569.733133660087</v>
      </c>
      <c r="E10" s="17"/>
      <c r="F10" s="17"/>
      <c r="G10" s="17"/>
      <c r="H10" s="17"/>
      <c r="I10" s="17"/>
      <c r="J10" s="17"/>
    </row>
    <row r="11" spans="2:10" ht="10.5">
      <c r="B11" s="16"/>
      <c r="C11" s="6" t="s">
        <v>8</v>
      </c>
      <c r="D11" s="46">
        <f>SUM(D9:D10)</f>
        <v>4216.396669378021</v>
      </c>
      <c r="E11" s="17"/>
      <c r="F11" s="17"/>
      <c r="G11" s="17"/>
      <c r="H11" s="17"/>
      <c r="I11" s="17" t="s">
        <v>27</v>
      </c>
      <c r="J11" s="62">
        <f>(J8/(J9+J8))*E21+(J9/(J9+J8))*E22*0.65</f>
        <v>0.10001271503365744</v>
      </c>
    </row>
    <row r="12" spans="2:10" ht="10.5">
      <c r="B12" s="16"/>
      <c r="C12" s="17" t="s">
        <v>5</v>
      </c>
      <c r="D12" s="34">
        <f>-D27</f>
        <v>-1184</v>
      </c>
      <c r="E12" s="17"/>
      <c r="F12" s="17"/>
      <c r="G12" s="17"/>
      <c r="H12" s="17"/>
      <c r="I12" s="17"/>
      <c r="J12" s="17"/>
    </row>
    <row r="13" spans="2:10" ht="10.5">
      <c r="B13" s="16"/>
      <c r="C13" s="4" t="s">
        <v>6</v>
      </c>
      <c r="D13" s="59">
        <f>D11+D12</f>
        <v>3032.396669378021</v>
      </c>
      <c r="E13" s="5"/>
      <c r="F13" s="17"/>
      <c r="G13" s="5"/>
      <c r="H13" s="5"/>
      <c r="I13" s="5"/>
      <c r="J13" s="5"/>
    </row>
    <row r="14" spans="2:10" ht="10.5">
      <c r="B14" s="16"/>
      <c r="C14" s="3"/>
      <c r="D14" s="10"/>
      <c r="E14" s="10"/>
      <c r="F14" s="17"/>
      <c r="G14" s="10"/>
      <c r="H14" s="10"/>
      <c r="I14" s="10"/>
      <c r="J14" s="10"/>
    </row>
    <row r="15" spans="2:10" ht="10.5">
      <c r="B15" s="16"/>
      <c r="C15" s="17"/>
      <c r="D15" s="17"/>
      <c r="E15" s="17"/>
      <c r="F15" s="17"/>
      <c r="G15" s="17"/>
      <c r="H15" s="17"/>
      <c r="I15" s="17"/>
      <c r="J15" s="17"/>
    </row>
    <row r="16" spans="2:15" s="1" customFormat="1" ht="10.5">
      <c r="B16" s="12"/>
      <c r="C16" s="32"/>
      <c r="D16" s="33">
        <v>2002</v>
      </c>
      <c r="E16" s="33">
        <v>2003</v>
      </c>
      <c r="F16" s="33">
        <f aca="true" t="shared" si="2" ref="F16:O16">E16+1</f>
        <v>2004</v>
      </c>
      <c r="G16" s="33">
        <f t="shared" si="2"/>
        <v>2005</v>
      </c>
      <c r="H16" s="33">
        <f t="shared" si="2"/>
        <v>2006</v>
      </c>
      <c r="I16" s="33">
        <f t="shared" si="2"/>
        <v>2007</v>
      </c>
      <c r="J16" s="33">
        <f t="shared" si="2"/>
        <v>2008</v>
      </c>
      <c r="K16" s="33">
        <f t="shared" si="2"/>
        <v>2009</v>
      </c>
      <c r="L16" s="33">
        <f t="shared" si="2"/>
        <v>2010</v>
      </c>
      <c r="M16" s="33">
        <f t="shared" si="2"/>
        <v>2011</v>
      </c>
      <c r="N16" s="33">
        <f t="shared" si="2"/>
        <v>2012</v>
      </c>
      <c r="O16" s="33">
        <f t="shared" si="2"/>
        <v>2013</v>
      </c>
    </row>
    <row r="17" spans="2:15" ht="10.5">
      <c r="B17" s="42">
        <v>1</v>
      </c>
      <c r="C17" s="37" t="s">
        <v>0</v>
      </c>
      <c r="D17" s="23"/>
      <c r="E17" s="26">
        <v>-290</v>
      </c>
      <c r="F17" s="26">
        <v>-102</v>
      </c>
      <c r="G17" s="26">
        <v>250</v>
      </c>
      <c r="H17" s="26">
        <v>354</v>
      </c>
      <c r="I17" s="26">
        <v>459</v>
      </c>
      <c r="J17" s="26">
        <v>496</v>
      </c>
      <c r="K17" s="26">
        <f>J17*1.02</f>
        <v>505.92</v>
      </c>
      <c r="L17" s="26">
        <f>K17*1.02</f>
        <v>516.0384</v>
      </c>
      <c r="M17" s="26">
        <f>L17*1.02</f>
        <v>526.3591680000001</v>
      </c>
      <c r="N17" s="26">
        <f>M17*1.02</f>
        <v>536.88635136</v>
      </c>
      <c r="O17" s="26">
        <f>N17*1.02</f>
        <v>547.6240783872</v>
      </c>
    </row>
    <row r="18" spans="2:15" ht="10.5">
      <c r="B18" s="42">
        <v>2</v>
      </c>
      <c r="C18" s="37" t="s">
        <v>38</v>
      </c>
      <c r="D18" s="23"/>
      <c r="E18" s="26">
        <v>0</v>
      </c>
      <c r="F18" s="26">
        <v>0</v>
      </c>
      <c r="G18" s="26">
        <v>0</v>
      </c>
      <c r="H18" s="26">
        <v>0</v>
      </c>
      <c r="I18" s="26">
        <f>J18/1.02</f>
        <v>34.31372549019608</v>
      </c>
      <c r="J18" s="26">
        <v>35</v>
      </c>
      <c r="K18" s="23">
        <f>K17-K19*(1-K20)+J27*0.02</f>
        <v>473.1779988200902</v>
      </c>
      <c r="L18" s="23">
        <f>L17-L19*(1-L20)+K27*0.02</f>
        <v>482.641558796492</v>
      </c>
      <c r="M18" s="23">
        <f>M17-M19*(1-M20)+L27*0.02</f>
        <v>492.29438997242187</v>
      </c>
      <c r="N18" s="23">
        <f>N17-N19*(1-N20)+M27*0.02</f>
        <v>502.1402777718703</v>
      </c>
      <c r="O18" s="23">
        <f>O17-O19*(1-O20)+N27*0.02</f>
        <v>512.1830833273076</v>
      </c>
    </row>
    <row r="19" spans="2:15" ht="10.5">
      <c r="B19" s="42">
        <v>3</v>
      </c>
      <c r="C19" s="38" t="s">
        <v>33</v>
      </c>
      <c r="D19" s="31"/>
      <c r="E19" s="41">
        <f>D27*E22</f>
        <v>106.56</v>
      </c>
      <c r="F19" s="41">
        <f aca="true" t="shared" si="3" ref="F19:L19">E27*F22</f>
        <v>142.25039999999998</v>
      </c>
      <c r="G19" s="41">
        <f t="shared" si="3"/>
        <v>164.23293599999997</v>
      </c>
      <c r="H19" s="41">
        <f t="shared" si="3"/>
        <v>156.51390023999997</v>
      </c>
      <c r="I19" s="41">
        <f t="shared" si="3"/>
        <v>138.74015126159995</v>
      </c>
      <c r="J19" s="41">
        <f t="shared" si="3"/>
        <v>111.50660653563631</v>
      </c>
      <c r="K19" s="41">
        <f t="shared" si="3"/>
        <v>76.53974301797103</v>
      </c>
      <c r="L19" s="41">
        <f t="shared" si="3"/>
        <v>78.07053787833046</v>
      </c>
      <c r="M19" s="41">
        <f>L27*M22</f>
        <v>79.63194863589707</v>
      </c>
      <c r="N19" s="41">
        <f>M27*N22</f>
        <v>81.22458760861501</v>
      </c>
      <c r="O19" s="41">
        <f>N27*O22</f>
        <v>82.84907936078731</v>
      </c>
    </row>
    <row r="20" spans="2:15" ht="10.5">
      <c r="B20" s="42">
        <v>4</v>
      </c>
      <c r="C20" s="38" t="s">
        <v>35</v>
      </c>
      <c r="D20" s="31"/>
      <c r="E20" s="36">
        <v>0</v>
      </c>
      <c r="F20" s="36">
        <v>0</v>
      </c>
      <c r="G20" s="36">
        <v>0</v>
      </c>
      <c r="H20" s="36">
        <v>0</v>
      </c>
      <c r="I20" s="36">
        <v>0.12</v>
      </c>
      <c r="J20" s="36">
        <v>0.35</v>
      </c>
      <c r="K20" s="36">
        <v>0.35</v>
      </c>
      <c r="L20" s="36">
        <v>0.35</v>
      </c>
      <c r="M20" s="36">
        <v>0.35</v>
      </c>
      <c r="N20" s="36">
        <v>0.35</v>
      </c>
      <c r="O20" s="36">
        <v>0.35</v>
      </c>
    </row>
    <row r="21" spans="2:15" ht="10.5">
      <c r="B21" s="42">
        <v>5</v>
      </c>
      <c r="C21" s="39" t="s">
        <v>1</v>
      </c>
      <c r="D21" s="28"/>
      <c r="E21" s="36">
        <v>0.133</v>
      </c>
      <c r="F21" s="36">
        <v>0.133</v>
      </c>
      <c r="G21" s="36">
        <v>0.133</v>
      </c>
      <c r="H21" s="36">
        <v>0.133</v>
      </c>
      <c r="I21" s="36">
        <v>0.133</v>
      </c>
      <c r="J21" s="36">
        <v>0.133</v>
      </c>
      <c r="K21" s="36">
        <v>0.133</v>
      </c>
      <c r="L21" s="36">
        <v>0.133</v>
      </c>
      <c r="M21" s="28">
        <v>0.133</v>
      </c>
      <c r="N21" s="28">
        <v>0.133</v>
      </c>
      <c r="O21" s="28">
        <v>0.133</v>
      </c>
    </row>
    <row r="22" spans="2:15" ht="10.5">
      <c r="B22" s="42">
        <v>6</v>
      </c>
      <c r="C22" s="39" t="s">
        <v>36</v>
      </c>
      <c r="D22" s="28"/>
      <c r="E22" s="36">
        <v>0.09</v>
      </c>
      <c r="F22" s="36">
        <f aca="true" t="shared" si="4" ref="F22:O22">E22</f>
        <v>0.09</v>
      </c>
      <c r="G22" s="36">
        <f t="shared" si="4"/>
        <v>0.09</v>
      </c>
      <c r="H22" s="36">
        <f t="shared" si="4"/>
        <v>0.09</v>
      </c>
      <c r="I22" s="36">
        <f t="shared" si="4"/>
        <v>0.09</v>
      </c>
      <c r="J22" s="36">
        <f t="shared" si="4"/>
        <v>0.09</v>
      </c>
      <c r="K22" s="36">
        <f t="shared" si="4"/>
        <v>0.09</v>
      </c>
      <c r="L22" s="36">
        <f t="shared" si="4"/>
        <v>0.09</v>
      </c>
      <c r="M22" s="28">
        <f t="shared" si="4"/>
        <v>0.09</v>
      </c>
      <c r="N22" s="28">
        <f t="shared" si="4"/>
        <v>0.09</v>
      </c>
      <c r="O22" s="28">
        <f t="shared" si="4"/>
        <v>0.09</v>
      </c>
    </row>
    <row r="23" spans="2:15" ht="10.5">
      <c r="B23" s="42">
        <v>7</v>
      </c>
      <c r="C23" s="38" t="s">
        <v>11</v>
      </c>
      <c r="D23" s="21"/>
      <c r="E23" s="61">
        <v>0.1</v>
      </c>
      <c r="F23" s="61">
        <v>0.1</v>
      </c>
      <c r="G23" s="61">
        <v>0.1</v>
      </c>
      <c r="H23" s="61">
        <v>0.1</v>
      </c>
      <c r="I23" s="61">
        <v>0.1</v>
      </c>
      <c r="J23" s="61">
        <v>0.1</v>
      </c>
      <c r="K23" s="61">
        <v>0.1</v>
      </c>
      <c r="L23" s="61">
        <v>0.1</v>
      </c>
      <c r="M23" s="21">
        <v>0.1</v>
      </c>
      <c r="N23" s="21">
        <v>0.1</v>
      </c>
      <c r="O23" s="21">
        <v>0.1</v>
      </c>
    </row>
    <row r="24" spans="2:15" ht="10.5">
      <c r="B24" s="42"/>
      <c r="C24" s="4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ht="10.5">
      <c r="B25" s="42">
        <v>8</v>
      </c>
      <c r="C25" s="37" t="s">
        <v>29</v>
      </c>
      <c r="D25" s="51">
        <f>D13</f>
        <v>3032.396669378021</v>
      </c>
      <c r="E25" s="51">
        <f aca="true" t="shared" si="5" ref="E25:O25">D25*(1+E21)-E18</f>
        <v>3435.705426405298</v>
      </c>
      <c r="F25" s="51">
        <f t="shared" si="5"/>
        <v>3892.6542481172028</v>
      </c>
      <c r="G25" s="51">
        <f t="shared" si="5"/>
        <v>4410.37726311679</v>
      </c>
      <c r="H25" s="51">
        <f t="shared" si="5"/>
        <v>4996.957439111324</v>
      </c>
      <c r="I25" s="51">
        <f t="shared" si="5"/>
        <v>5627.239053022934</v>
      </c>
      <c r="J25" s="51">
        <f t="shared" si="5"/>
        <v>6340.6618470749845</v>
      </c>
      <c r="K25" s="51">
        <f t="shared" si="5"/>
        <v>6710.791873915867</v>
      </c>
      <c r="L25" s="51">
        <f t="shared" si="5"/>
        <v>7120.685634350185</v>
      </c>
      <c r="M25" s="26">
        <f t="shared" si="5"/>
        <v>7575.442433746337</v>
      </c>
      <c r="N25" s="26">
        <f t="shared" si="5"/>
        <v>8080.83599966273</v>
      </c>
      <c r="O25" s="26">
        <f t="shared" si="5"/>
        <v>8643.404104290566</v>
      </c>
    </row>
    <row r="26" spans="2:15" ht="10.5">
      <c r="B26" s="42">
        <v>9</v>
      </c>
      <c r="C26" s="39" t="s">
        <v>31</v>
      </c>
      <c r="D26" s="28"/>
      <c r="E26" s="29">
        <f aca="true" t="shared" si="6" ref="E26:O26">E18-E17+E19*(1-E20)</f>
        <v>396.56</v>
      </c>
      <c r="F26" s="29">
        <f t="shared" si="6"/>
        <v>244.25039999999998</v>
      </c>
      <c r="G26" s="29">
        <f t="shared" si="6"/>
        <v>-85.76706400000003</v>
      </c>
      <c r="H26" s="29">
        <f t="shared" si="6"/>
        <v>-197.48609976000003</v>
      </c>
      <c r="I26" s="29">
        <f t="shared" si="6"/>
        <v>-302.594941399596</v>
      </c>
      <c r="J26" s="29">
        <f t="shared" si="6"/>
        <v>-388.52070575183643</v>
      </c>
      <c r="K26" s="29">
        <f t="shared" si="6"/>
        <v>17.00883178177134</v>
      </c>
      <c r="L26" s="29">
        <f t="shared" si="6"/>
        <v>17.34900841740678</v>
      </c>
      <c r="M26" s="29">
        <f t="shared" si="6"/>
        <v>17.695988585754904</v>
      </c>
      <c r="N26" s="29">
        <f t="shared" si="6"/>
        <v>18.04990835746998</v>
      </c>
      <c r="O26" s="29">
        <f t="shared" si="6"/>
        <v>18.410906524619328</v>
      </c>
    </row>
    <row r="27" spans="2:15" ht="10.5">
      <c r="B27" s="42">
        <v>10</v>
      </c>
      <c r="C27" s="37" t="s">
        <v>30</v>
      </c>
      <c r="D27" s="26">
        <v>1184</v>
      </c>
      <c r="E27" s="26">
        <f aca="true" t="shared" si="7" ref="E27:O27">D27+E26</f>
        <v>1580.56</v>
      </c>
      <c r="F27" s="26">
        <f t="shared" si="7"/>
        <v>1824.8103999999998</v>
      </c>
      <c r="G27" s="26">
        <f t="shared" si="7"/>
        <v>1739.0433359999997</v>
      </c>
      <c r="H27" s="26">
        <f t="shared" si="7"/>
        <v>1541.5572362399996</v>
      </c>
      <c r="I27" s="26">
        <f t="shared" si="7"/>
        <v>1238.9622948404035</v>
      </c>
      <c r="J27" s="26">
        <f t="shared" si="7"/>
        <v>850.4415890885671</v>
      </c>
      <c r="K27" s="26">
        <f t="shared" si="7"/>
        <v>867.4504208703385</v>
      </c>
      <c r="L27" s="26">
        <f t="shared" si="7"/>
        <v>884.7994292877453</v>
      </c>
      <c r="M27" s="26">
        <f t="shared" si="7"/>
        <v>902.4954178735002</v>
      </c>
      <c r="N27" s="26">
        <f t="shared" si="7"/>
        <v>920.5453262309702</v>
      </c>
      <c r="O27" s="26">
        <f t="shared" si="7"/>
        <v>938.9562327555896</v>
      </c>
    </row>
    <row r="28" spans="2:15" ht="10.5">
      <c r="B28" s="42">
        <v>11</v>
      </c>
      <c r="C28" s="37" t="s">
        <v>28</v>
      </c>
      <c r="D28" s="27">
        <f aca="true" t="shared" si="8" ref="D28:O28">D27/(D27+D25)</f>
        <v>0.2808084942763834</v>
      </c>
      <c r="E28" s="27">
        <f t="shared" si="8"/>
        <v>0.31508699513387667</v>
      </c>
      <c r="F28" s="27">
        <f t="shared" si="8"/>
        <v>0.3191642646362355</v>
      </c>
      <c r="G28" s="27">
        <f t="shared" si="8"/>
        <v>0.282797916969571</v>
      </c>
      <c r="H28" s="27">
        <f t="shared" si="8"/>
        <v>0.23576566128257095</v>
      </c>
      <c r="I28" s="27">
        <f t="shared" si="8"/>
        <v>0.1804436299011171</v>
      </c>
      <c r="J28" s="27">
        <f t="shared" si="8"/>
        <v>0.11826301716253396</v>
      </c>
      <c r="K28" s="27">
        <f t="shared" si="8"/>
        <v>0.11446591269154066</v>
      </c>
      <c r="L28" s="27">
        <f t="shared" si="8"/>
        <v>0.11052414966166536</v>
      </c>
      <c r="M28" s="27">
        <f t="shared" si="8"/>
        <v>0.10645223327522563</v>
      </c>
      <c r="N28" s="27">
        <f t="shared" si="8"/>
        <v>0.1022671180014223</v>
      </c>
      <c r="O28" s="27">
        <f t="shared" si="8"/>
        <v>0.09798799040415034</v>
      </c>
    </row>
    <row r="29" ht="10.5">
      <c r="B29" s="43"/>
    </row>
    <row r="30" spans="2:15" ht="10.5">
      <c r="B30" s="42">
        <v>12</v>
      </c>
      <c r="C30" s="28" t="s">
        <v>37</v>
      </c>
      <c r="D30" s="28"/>
      <c r="E30" s="28">
        <f>D28*E22*(1-E20)+(1-D28)*E21</f>
        <v>0.12092523474611552</v>
      </c>
      <c r="F30" s="28">
        <f aca="true" t="shared" si="9" ref="F30:O30">E28*F22*(1-F20)+(1-E28)*F21</f>
        <v>0.11945125920924331</v>
      </c>
      <c r="G30" s="28">
        <f t="shared" si="9"/>
        <v>0.11927593662064188</v>
      </c>
      <c r="H30" s="28">
        <f t="shared" si="9"/>
        <v>0.12083968957030845</v>
      </c>
      <c r="I30" s="28">
        <f t="shared" si="9"/>
        <v>0.12031580742299769</v>
      </c>
      <c r="J30" s="28">
        <f t="shared" si="9"/>
        <v>0.11955694957236677</v>
      </c>
      <c r="K30" s="28">
        <f t="shared" si="9"/>
        <v>0.12418940522139123</v>
      </c>
      <c r="L30" s="28">
        <f t="shared" si="9"/>
        <v>0.12447228950448022</v>
      </c>
      <c r="M30" s="28">
        <f t="shared" si="9"/>
        <v>0.12476595085020593</v>
      </c>
      <c r="N30" s="28">
        <f t="shared" si="9"/>
        <v>0.12506930862099572</v>
      </c>
      <c r="O30" s="28">
        <f t="shared" si="9"/>
        <v>0.12538109970889405</v>
      </c>
    </row>
    <row r="31" spans="2:15" ht="10.5">
      <c r="B31" s="42">
        <v>13</v>
      </c>
      <c r="C31" s="30" t="s">
        <v>10</v>
      </c>
      <c r="D31" s="21"/>
      <c r="E31" s="21">
        <f>(E23-D28*E22*(1-E20))/(1-D28)</f>
        <v>0.103904502375815</v>
      </c>
      <c r="F31" s="21">
        <f aca="true" t="shared" si="10" ref="F31:O31">(F23-E28*F22*(1-F20))/(1-E28)</f>
        <v>0.10460039439892758</v>
      </c>
      <c r="G31" s="21">
        <f t="shared" si="10"/>
        <v>0.10468783067718544</v>
      </c>
      <c r="H31" s="21">
        <f t="shared" si="10"/>
        <v>0.10394307160646622</v>
      </c>
      <c r="I31" s="21">
        <f t="shared" si="10"/>
        <v>0.10641678279322997</v>
      </c>
      <c r="J31" s="21">
        <f t="shared" si="10"/>
        <v>0.10913715140789261</v>
      </c>
      <c r="K31" s="21">
        <f t="shared" si="10"/>
        <v>0.10556618958688938</v>
      </c>
      <c r="L31" s="21">
        <f t="shared" si="10"/>
        <v>0.10536437325765445</v>
      </c>
      <c r="M31" s="21">
        <f t="shared" si="10"/>
        <v>0.10515669111107899</v>
      </c>
      <c r="N31" s="21">
        <f t="shared" si="10"/>
        <v>0.10494407556645217</v>
      </c>
      <c r="O31" s="21">
        <f t="shared" si="10"/>
        <v>0.104727559257505</v>
      </c>
    </row>
    <row r="32" spans="2:10" ht="10.5">
      <c r="B32" s="16"/>
      <c r="C32" s="3"/>
      <c r="D32" s="11"/>
      <c r="E32" s="11"/>
      <c r="F32" s="11"/>
      <c r="G32" s="11"/>
      <c r="H32" s="11"/>
      <c r="I32" s="11"/>
      <c r="J32" s="11"/>
    </row>
    <row r="33" spans="2:10" ht="10.5">
      <c r="B33" s="16"/>
      <c r="C33" s="3" t="s">
        <v>39</v>
      </c>
      <c r="D33" s="63">
        <f>NPV(E21,E18:N18)+O18/(E21-B6)/(1+E21)^10</f>
        <v>2014.4754317065986</v>
      </c>
      <c r="E33" s="11"/>
      <c r="F33" s="11"/>
      <c r="G33" s="11"/>
      <c r="H33" s="11"/>
      <c r="I33" s="11"/>
      <c r="J33" s="11"/>
    </row>
    <row r="34" spans="2:10" ht="10.5">
      <c r="B34" s="16"/>
      <c r="C34" s="3"/>
      <c r="D34" s="11"/>
      <c r="E34" s="11"/>
      <c r="F34" s="11"/>
      <c r="G34" s="11"/>
      <c r="H34" s="11"/>
      <c r="I34" s="11"/>
      <c r="J34" s="11"/>
    </row>
    <row r="35" spans="2:10" ht="10.5">
      <c r="B35" s="16"/>
      <c r="C35" s="3"/>
      <c r="D35" s="11"/>
      <c r="E35" s="11"/>
      <c r="F35" s="11"/>
      <c r="G35" s="11"/>
      <c r="H35" s="11"/>
      <c r="I35" s="11"/>
      <c r="J35" s="11"/>
    </row>
    <row r="36" spans="2:15" ht="10.5">
      <c r="B36" s="16"/>
      <c r="C36" s="3" t="s">
        <v>17</v>
      </c>
      <c r="D36" s="11"/>
      <c r="E36" s="11"/>
      <c r="F36" s="11">
        <f>F25/E25-1</f>
        <v>0.133</v>
      </c>
      <c r="G36" s="11">
        <f aca="true" t="shared" si="11" ref="G36:L36">G25/F25-1</f>
        <v>0.133</v>
      </c>
      <c r="H36" s="11">
        <f t="shared" si="11"/>
        <v>0.133</v>
      </c>
      <c r="I36" s="11">
        <f t="shared" si="11"/>
        <v>0.12613307629526282</v>
      </c>
      <c r="J36" s="11">
        <f t="shared" si="11"/>
        <v>0.12678025357191847</v>
      </c>
      <c r="K36" s="11">
        <f t="shared" si="11"/>
        <v>0.058374036617585556</v>
      </c>
      <c r="L36" s="11">
        <f t="shared" si="11"/>
        <v>0.061079790304260806</v>
      </c>
      <c r="M36" s="11">
        <f>M25/L25-1</f>
        <v>0.06386418706681907</v>
      </c>
      <c r="N36" s="11">
        <f>N25/M25-1</f>
        <v>0.0667147259498686</v>
      </c>
      <c r="O36" s="11">
        <f>O25/N25-1</f>
        <v>0.06961756242192219</v>
      </c>
    </row>
    <row r="37" spans="2:15" ht="10.5">
      <c r="B37" s="16"/>
      <c r="C37" s="3" t="s">
        <v>18</v>
      </c>
      <c r="D37" s="11"/>
      <c r="E37" s="11"/>
      <c r="F37" s="45">
        <f>F27/E27-1</f>
        <v>0.15453408918358047</v>
      </c>
      <c r="G37" s="45">
        <f aca="true" t="shared" si="12" ref="G37:L37">G27/F27-1</f>
        <v>-0.047000534411684725</v>
      </c>
      <c r="H37" s="45">
        <f t="shared" si="12"/>
        <v>-0.11356019466095701</v>
      </c>
      <c r="I37" s="45">
        <f t="shared" si="12"/>
        <v>-0.1962917329866085</v>
      </c>
      <c r="J37" s="45">
        <f t="shared" si="12"/>
        <v>-0.31358557671190757</v>
      </c>
      <c r="K37" s="45">
        <f t="shared" si="12"/>
        <v>0.020000000000000018</v>
      </c>
      <c r="L37" s="45">
        <f t="shared" si="12"/>
        <v>0.020000000000000018</v>
      </c>
      <c r="M37" s="45">
        <f>M27/L27-1</f>
        <v>0.020000000000000018</v>
      </c>
      <c r="N37" s="45">
        <f>N27/M27-1</f>
        <v>0.020000000000000018</v>
      </c>
      <c r="O37" s="45">
        <f>O27/N27-1</f>
        <v>0.020000000000000018</v>
      </c>
    </row>
    <row r="38" spans="2:15" ht="10.5">
      <c r="B38" s="16"/>
      <c r="C38" s="3" t="s">
        <v>19</v>
      </c>
      <c r="D38" s="11"/>
      <c r="E38" s="11"/>
      <c r="F38" s="45"/>
      <c r="G38" s="19"/>
      <c r="H38" s="45"/>
      <c r="I38" s="45"/>
      <c r="J38" s="45">
        <f aca="true" t="shared" si="13" ref="J38:O38">J18/I18-1</f>
        <v>0.020000000000000018</v>
      </c>
      <c r="K38" s="19">
        <f t="shared" si="13"/>
        <v>12.51937139485972</v>
      </c>
      <c r="L38" s="45">
        <f t="shared" si="13"/>
        <v>0.020000000000000018</v>
      </c>
      <c r="M38" s="45">
        <f t="shared" si="13"/>
        <v>0.020000000000000018</v>
      </c>
      <c r="N38" s="45">
        <f t="shared" si="13"/>
        <v>0.020000000000000018</v>
      </c>
      <c r="O38" s="45">
        <f t="shared" si="13"/>
        <v>0.019999999999999796</v>
      </c>
    </row>
    <row r="39" spans="2:10" ht="10.5">
      <c r="B39" s="16"/>
      <c r="C39" s="3"/>
      <c r="D39" s="11"/>
      <c r="E39" s="11"/>
      <c r="F39" s="11"/>
      <c r="G39" s="11"/>
      <c r="H39" s="11"/>
      <c r="I39" s="11"/>
      <c r="J39" s="11"/>
    </row>
    <row r="40" spans="2:10" s="9" customFormat="1" ht="11.25" thickBot="1">
      <c r="B40" s="48"/>
      <c r="C40" s="7"/>
      <c r="D40" s="49"/>
      <c r="E40" s="49"/>
      <c r="F40" s="49"/>
      <c r="G40" s="49"/>
      <c r="H40" s="49"/>
      <c r="I40" s="49"/>
      <c r="J40" s="49"/>
    </row>
    <row r="41" spans="2:10" ht="10.5">
      <c r="B41" s="16"/>
      <c r="C41" s="3" t="s">
        <v>20</v>
      </c>
      <c r="D41" s="11"/>
      <c r="E41" s="11"/>
      <c r="F41" s="11"/>
      <c r="G41" s="11"/>
      <c r="H41" s="11"/>
      <c r="I41" s="11"/>
      <c r="J41" s="11"/>
    </row>
    <row r="42" spans="2:10" ht="10.5">
      <c r="B42" s="16"/>
      <c r="C42" s="3"/>
      <c r="D42" s="11"/>
      <c r="E42" s="11"/>
      <c r="F42" s="11"/>
      <c r="G42" s="11"/>
      <c r="H42" s="11"/>
      <c r="I42" s="11"/>
      <c r="J42" s="11"/>
    </row>
    <row r="43" spans="2:15" ht="10.5">
      <c r="B43" s="16"/>
      <c r="C43" s="13" t="s">
        <v>13</v>
      </c>
      <c r="D43" s="11"/>
      <c r="E43" s="44">
        <f>1/(1+E61)</f>
        <v>0.8951890973283815</v>
      </c>
      <c r="F43" s="44">
        <f aca="true" t="shared" si="14" ref="F43:L43">E43/(1+F61)</f>
        <v>0.8025677831643833</v>
      </c>
      <c r="G43" s="44">
        <f t="shared" si="14"/>
        <v>0.7196560823457184</v>
      </c>
      <c r="H43" s="44">
        <f t="shared" si="14"/>
        <v>0.6442851875044391</v>
      </c>
      <c r="I43" s="44">
        <f t="shared" si="14"/>
        <v>0.5773480461326487</v>
      </c>
      <c r="J43" s="44">
        <f t="shared" si="14"/>
        <v>0.5180741371836206</v>
      </c>
      <c r="K43" s="44">
        <f t="shared" si="14"/>
        <v>0.4623912934844091</v>
      </c>
      <c r="L43" s="44">
        <f t="shared" si="14"/>
        <v>0.4126932671306191</v>
      </c>
      <c r="M43" s="44"/>
      <c r="N43" s="44"/>
      <c r="O43" s="44"/>
    </row>
    <row r="44" spans="2:15" ht="10.5">
      <c r="B44" s="16"/>
      <c r="C44" s="4" t="s">
        <v>12</v>
      </c>
      <c r="D44" s="11"/>
      <c r="E44" s="46">
        <f aca="true" t="shared" si="15" ref="E44:L44">E17*E43</f>
        <v>-259.60483822523065</v>
      </c>
      <c r="F44" s="46">
        <f t="shared" si="15"/>
        <v>-81.8619138827671</v>
      </c>
      <c r="G44" s="46">
        <f t="shared" si="15"/>
        <v>179.91402058642961</v>
      </c>
      <c r="H44" s="46">
        <f t="shared" si="15"/>
        <v>228.07695637657145</v>
      </c>
      <c r="I44" s="46">
        <f t="shared" si="15"/>
        <v>265.00275317488575</v>
      </c>
      <c r="J44" s="46">
        <f t="shared" si="15"/>
        <v>256.9647720430758</v>
      </c>
      <c r="K44" s="46">
        <f t="shared" si="15"/>
        <v>233.93300319963225</v>
      </c>
      <c r="L44" s="46">
        <f t="shared" si="15"/>
        <v>212.96557326085727</v>
      </c>
      <c r="M44" s="46"/>
      <c r="N44" s="46"/>
      <c r="O44" s="46"/>
    </row>
    <row r="45" spans="2:12" ht="10.5">
      <c r="B45" s="16"/>
      <c r="C45" s="3" t="s">
        <v>14</v>
      </c>
      <c r="D45" s="11"/>
      <c r="E45" s="46"/>
      <c r="F45" s="46"/>
      <c r="G45" s="46"/>
      <c r="H45" s="46"/>
      <c r="I45" s="46"/>
      <c r="K45" s="46">
        <f>K46*K43</f>
        <v>2376.0506784340027</v>
      </c>
      <c r="L45" s="46">
        <f>L46*L43</f>
        <v>2163.085105173145</v>
      </c>
    </row>
    <row r="46" spans="2:12" ht="10.5">
      <c r="B46" s="16"/>
      <c r="C46" s="8" t="s">
        <v>7</v>
      </c>
      <c r="D46" s="8"/>
      <c r="E46" s="8"/>
      <c r="F46" s="8"/>
      <c r="G46" s="8"/>
      <c r="H46" s="8"/>
      <c r="I46" s="8"/>
      <c r="K46" s="8">
        <f>K49*1.02/(K61-B6)</f>
        <v>5138.6146580074355</v>
      </c>
      <c r="L46" s="8">
        <f>L49*1.02/(L61-B6)</f>
        <v>5241.386951167585</v>
      </c>
    </row>
    <row r="47" spans="2:10" ht="10.5">
      <c r="B47" s="16"/>
      <c r="C47" s="11"/>
      <c r="D47" s="11"/>
      <c r="E47" s="11"/>
      <c r="F47" s="11"/>
      <c r="G47" s="11"/>
      <c r="H47" s="11"/>
      <c r="I47" s="11"/>
      <c r="J47" s="11"/>
    </row>
    <row r="48" spans="2:15" s="1" customFormat="1" ht="10.5">
      <c r="B48" s="12"/>
      <c r="C48" s="32"/>
      <c r="D48" s="33">
        <v>2002</v>
      </c>
      <c r="E48" s="33">
        <v>2003</v>
      </c>
      <c r="F48" s="33">
        <f aca="true" t="shared" si="16" ref="F48:O48">E48+1</f>
        <v>2004</v>
      </c>
      <c r="G48" s="33">
        <f t="shared" si="16"/>
        <v>2005</v>
      </c>
      <c r="H48" s="33">
        <f t="shared" si="16"/>
        <v>2006</v>
      </c>
      <c r="I48" s="33">
        <f t="shared" si="16"/>
        <v>2007</v>
      </c>
      <c r="J48" s="33">
        <f t="shared" si="16"/>
        <v>2008</v>
      </c>
      <c r="K48" s="33">
        <f t="shared" si="16"/>
        <v>2009</v>
      </c>
      <c r="L48" s="33">
        <f t="shared" si="16"/>
        <v>2010</v>
      </c>
      <c r="M48" s="33">
        <f t="shared" si="16"/>
        <v>2011</v>
      </c>
      <c r="N48" s="33">
        <f t="shared" si="16"/>
        <v>2012</v>
      </c>
      <c r="O48" s="33">
        <f t="shared" si="16"/>
        <v>2013</v>
      </c>
    </row>
    <row r="49" spans="2:15" ht="10.5">
      <c r="B49" s="42">
        <v>1</v>
      </c>
      <c r="C49" s="37" t="s">
        <v>0</v>
      </c>
      <c r="D49" s="23"/>
      <c r="E49" s="26">
        <f>E17</f>
        <v>-290</v>
      </c>
      <c r="F49" s="26">
        <f aca="true" t="shared" si="17" ref="F49:O49">F17</f>
        <v>-102</v>
      </c>
      <c r="G49" s="26">
        <f t="shared" si="17"/>
        <v>250</v>
      </c>
      <c r="H49" s="26">
        <f t="shared" si="17"/>
        <v>354</v>
      </c>
      <c r="I49" s="26">
        <f t="shared" si="17"/>
        <v>459</v>
      </c>
      <c r="J49" s="26">
        <f t="shared" si="17"/>
        <v>496</v>
      </c>
      <c r="K49" s="51">
        <f t="shared" si="17"/>
        <v>505.92</v>
      </c>
      <c r="L49" s="51">
        <f t="shared" si="17"/>
        <v>516.0384</v>
      </c>
      <c r="M49" s="26">
        <f t="shared" si="17"/>
        <v>526.3591680000001</v>
      </c>
      <c r="N49" s="26">
        <f t="shared" si="17"/>
        <v>536.88635136</v>
      </c>
      <c r="O49" s="26">
        <f t="shared" si="17"/>
        <v>547.6240783872</v>
      </c>
    </row>
    <row r="50" spans="2:15" ht="10.5">
      <c r="B50" s="42">
        <v>2</v>
      </c>
      <c r="C50" s="37" t="s">
        <v>32</v>
      </c>
      <c r="D50" s="23"/>
      <c r="E50" s="26">
        <f>E18</f>
        <v>0</v>
      </c>
      <c r="F50" s="26">
        <f aca="true" t="shared" si="18" ref="F50:J52">F18</f>
        <v>0</v>
      </c>
      <c r="G50" s="26">
        <f t="shared" si="18"/>
        <v>0</v>
      </c>
      <c r="H50" s="26">
        <f t="shared" si="18"/>
        <v>0</v>
      </c>
      <c r="I50" s="26">
        <f t="shared" si="18"/>
        <v>34.31372549019608</v>
      </c>
      <c r="J50" s="26">
        <f t="shared" si="18"/>
        <v>35</v>
      </c>
      <c r="K50" s="51">
        <f>K49-K51*(1-K52)+J58*0.02</f>
        <v>473.1779988200902</v>
      </c>
      <c r="L50" s="51">
        <f>L49-L51*(1-L52)+K58*0.02</f>
        <v>482.641558796492</v>
      </c>
      <c r="M50" s="23">
        <f>M49-M51*(1-M52)+L58*0.02</f>
        <v>492.29438997242187</v>
      </c>
      <c r="N50" s="23">
        <f>N49-N51*(1-N52)+M58*0.02</f>
        <v>502.1402777718703</v>
      </c>
      <c r="O50" s="26">
        <f>O18</f>
        <v>512.1830833273076</v>
      </c>
    </row>
    <row r="51" spans="2:15" ht="10.5">
      <c r="B51" s="42">
        <v>3</v>
      </c>
      <c r="C51" s="38" t="s">
        <v>33</v>
      </c>
      <c r="D51" s="31"/>
      <c r="E51" s="26">
        <f>E19</f>
        <v>106.56</v>
      </c>
      <c r="F51" s="26">
        <f t="shared" si="18"/>
        <v>142.25039999999998</v>
      </c>
      <c r="G51" s="26">
        <f t="shared" si="18"/>
        <v>164.23293599999997</v>
      </c>
      <c r="H51" s="26">
        <f t="shared" si="18"/>
        <v>156.51390023999997</v>
      </c>
      <c r="I51" s="26">
        <f t="shared" si="18"/>
        <v>138.74015126159995</v>
      </c>
      <c r="J51" s="26">
        <f t="shared" si="18"/>
        <v>111.50660653563631</v>
      </c>
      <c r="K51" s="51">
        <f aca="true" t="shared" si="19" ref="K51:N52">K19</f>
        <v>76.53974301797103</v>
      </c>
      <c r="L51" s="51">
        <f t="shared" si="19"/>
        <v>78.07053787833046</v>
      </c>
      <c r="M51" s="26">
        <f t="shared" si="19"/>
        <v>79.63194863589707</v>
      </c>
      <c r="N51" s="26">
        <f t="shared" si="19"/>
        <v>81.22458760861501</v>
      </c>
      <c r="O51" s="26">
        <f>O19</f>
        <v>82.84907936078731</v>
      </c>
    </row>
    <row r="52" spans="2:15" ht="10.5">
      <c r="B52" s="42">
        <v>4</v>
      </c>
      <c r="C52" s="38" t="s">
        <v>35</v>
      </c>
      <c r="D52" s="31"/>
      <c r="E52" s="27">
        <f>E20</f>
        <v>0</v>
      </c>
      <c r="F52" s="27">
        <f t="shared" si="18"/>
        <v>0</v>
      </c>
      <c r="G52" s="27">
        <f t="shared" si="18"/>
        <v>0</v>
      </c>
      <c r="H52" s="27">
        <f t="shared" si="18"/>
        <v>0</v>
      </c>
      <c r="I52" s="27">
        <f t="shared" si="18"/>
        <v>0.12</v>
      </c>
      <c r="J52" s="27">
        <f t="shared" si="18"/>
        <v>0.35</v>
      </c>
      <c r="K52" s="27">
        <f t="shared" si="19"/>
        <v>0.35</v>
      </c>
      <c r="L52" s="27">
        <f t="shared" si="19"/>
        <v>0.35</v>
      </c>
      <c r="M52" s="27">
        <f t="shared" si="19"/>
        <v>0.35</v>
      </c>
      <c r="N52" s="27">
        <f t="shared" si="19"/>
        <v>0.35</v>
      </c>
      <c r="O52" s="27">
        <f>O20</f>
        <v>0.35</v>
      </c>
    </row>
    <row r="53" spans="2:15" ht="10.5">
      <c r="B53" s="42">
        <v>5</v>
      </c>
      <c r="C53" s="39" t="s">
        <v>1</v>
      </c>
      <c r="D53" s="28"/>
      <c r="E53" s="27">
        <f aca="true" t="shared" si="20" ref="E53:O53">E21</f>
        <v>0.133</v>
      </c>
      <c r="F53" s="27">
        <f t="shared" si="20"/>
        <v>0.133</v>
      </c>
      <c r="G53" s="27">
        <f t="shared" si="20"/>
        <v>0.133</v>
      </c>
      <c r="H53" s="27">
        <f t="shared" si="20"/>
        <v>0.133</v>
      </c>
      <c r="I53" s="27">
        <f t="shared" si="20"/>
        <v>0.133</v>
      </c>
      <c r="J53" s="27">
        <f t="shared" si="20"/>
        <v>0.133</v>
      </c>
      <c r="K53" s="27">
        <f t="shared" si="20"/>
        <v>0.133</v>
      </c>
      <c r="L53" s="27">
        <f t="shared" si="20"/>
        <v>0.133</v>
      </c>
      <c r="M53" s="27">
        <f t="shared" si="20"/>
        <v>0.133</v>
      </c>
      <c r="N53" s="27">
        <f t="shared" si="20"/>
        <v>0.133</v>
      </c>
      <c r="O53" s="27">
        <f t="shared" si="20"/>
        <v>0.133</v>
      </c>
    </row>
    <row r="54" spans="2:15" ht="10.5">
      <c r="B54" s="42">
        <v>6</v>
      </c>
      <c r="C54" s="39" t="s">
        <v>36</v>
      </c>
      <c r="D54" s="28"/>
      <c r="E54" s="27">
        <f aca="true" t="shared" si="21" ref="E54:O54">E22</f>
        <v>0.09</v>
      </c>
      <c r="F54" s="27">
        <f t="shared" si="21"/>
        <v>0.09</v>
      </c>
      <c r="G54" s="27">
        <f t="shared" si="21"/>
        <v>0.09</v>
      </c>
      <c r="H54" s="27">
        <f t="shared" si="21"/>
        <v>0.09</v>
      </c>
      <c r="I54" s="27">
        <f t="shared" si="21"/>
        <v>0.09</v>
      </c>
      <c r="J54" s="27">
        <f t="shared" si="21"/>
        <v>0.09</v>
      </c>
      <c r="K54" s="27">
        <f t="shared" si="21"/>
        <v>0.09</v>
      </c>
      <c r="L54" s="27">
        <f t="shared" si="21"/>
        <v>0.09</v>
      </c>
      <c r="M54" s="27">
        <f t="shared" si="21"/>
        <v>0.09</v>
      </c>
      <c r="N54" s="27">
        <f t="shared" si="21"/>
        <v>0.09</v>
      </c>
      <c r="O54" s="27">
        <f t="shared" si="21"/>
        <v>0.09</v>
      </c>
    </row>
    <row r="55" spans="2:15" ht="10.5">
      <c r="B55" s="42"/>
      <c r="C55" s="4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ht="10.5">
      <c r="B56" s="42">
        <v>8</v>
      </c>
      <c r="C56" s="37" t="s">
        <v>29</v>
      </c>
      <c r="D56" s="51">
        <f>D71</f>
        <v>2014.4754317065995</v>
      </c>
      <c r="E56" s="51">
        <f aca="true" t="shared" si="22" ref="E56:O56">D56*(1+E53)-E50</f>
        <v>2282.4006641235774</v>
      </c>
      <c r="F56" s="51">
        <f t="shared" si="22"/>
        <v>2585.959952452013</v>
      </c>
      <c r="G56" s="51">
        <f t="shared" si="22"/>
        <v>2929.892626128131</v>
      </c>
      <c r="H56" s="51">
        <f t="shared" si="22"/>
        <v>3319.5683454031723</v>
      </c>
      <c r="I56" s="51">
        <f t="shared" si="22"/>
        <v>3726.757209851598</v>
      </c>
      <c r="J56" s="51">
        <f t="shared" si="22"/>
        <v>4187.415918761861</v>
      </c>
      <c r="K56" s="51">
        <f t="shared" si="22"/>
        <v>4271.164237137097</v>
      </c>
      <c r="L56" s="51">
        <f t="shared" si="22"/>
        <v>4356.587521879839</v>
      </c>
      <c r="M56" s="26">
        <f t="shared" si="22"/>
        <v>4443.719272317436</v>
      </c>
      <c r="N56" s="26">
        <f t="shared" si="22"/>
        <v>4532.593657763784</v>
      </c>
      <c r="O56" s="26">
        <f t="shared" si="22"/>
        <v>4623.245530919059</v>
      </c>
    </row>
    <row r="57" spans="2:15" ht="10.5">
      <c r="B57" s="42">
        <v>9</v>
      </c>
      <c r="C57" s="39" t="s">
        <v>31</v>
      </c>
      <c r="D57" s="28"/>
      <c r="E57" s="29">
        <f aca="true" t="shared" si="23" ref="E57:O57">E50-E49+E51*(1-E52)</f>
        <v>396.56</v>
      </c>
      <c r="F57" s="29">
        <f t="shared" si="23"/>
        <v>244.25039999999998</v>
      </c>
      <c r="G57" s="29">
        <f t="shared" si="23"/>
        <v>-85.76706400000003</v>
      </c>
      <c r="H57" s="29">
        <f t="shared" si="23"/>
        <v>-197.48609976000003</v>
      </c>
      <c r="I57" s="29">
        <f t="shared" si="23"/>
        <v>-302.594941399596</v>
      </c>
      <c r="J57" s="29">
        <f t="shared" si="23"/>
        <v>-388.52070575183643</v>
      </c>
      <c r="K57" s="29">
        <f t="shared" si="23"/>
        <v>17.00883178177134</v>
      </c>
      <c r="L57" s="29">
        <f t="shared" si="23"/>
        <v>17.34900841740678</v>
      </c>
      <c r="M57" s="29">
        <f t="shared" si="23"/>
        <v>17.695988585754904</v>
      </c>
      <c r="N57" s="29">
        <f t="shared" si="23"/>
        <v>18.04990835746998</v>
      </c>
      <c r="O57" s="29">
        <f t="shared" si="23"/>
        <v>18.410906524619328</v>
      </c>
    </row>
    <row r="58" spans="2:15" ht="10.5">
      <c r="B58" s="42">
        <v>10</v>
      </c>
      <c r="C58" s="37" t="s">
        <v>30</v>
      </c>
      <c r="D58" s="26">
        <f>D27</f>
        <v>1184</v>
      </c>
      <c r="E58" s="26">
        <f aca="true" t="shared" si="24" ref="E58:O58">D58+E57</f>
        <v>1580.56</v>
      </c>
      <c r="F58" s="26">
        <f t="shared" si="24"/>
        <v>1824.8103999999998</v>
      </c>
      <c r="G58" s="26">
        <f t="shared" si="24"/>
        <v>1739.0433359999997</v>
      </c>
      <c r="H58" s="26">
        <f t="shared" si="24"/>
        <v>1541.5572362399996</v>
      </c>
      <c r="I58" s="26">
        <f t="shared" si="24"/>
        <v>1238.9622948404035</v>
      </c>
      <c r="J58" s="26">
        <f t="shared" si="24"/>
        <v>850.4415890885671</v>
      </c>
      <c r="K58" s="26">
        <f t="shared" si="24"/>
        <v>867.4504208703385</v>
      </c>
      <c r="L58" s="26">
        <f t="shared" si="24"/>
        <v>884.7994292877453</v>
      </c>
      <c r="M58" s="26">
        <f t="shared" si="24"/>
        <v>902.4954178735002</v>
      </c>
      <c r="N58" s="26">
        <f t="shared" si="24"/>
        <v>920.5453262309702</v>
      </c>
      <c r="O58" s="26">
        <f t="shared" si="24"/>
        <v>938.9562327555896</v>
      </c>
    </row>
    <row r="59" spans="2:15" ht="10.5">
      <c r="B59" s="42">
        <v>11</v>
      </c>
      <c r="C59" s="37" t="s">
        <v>28</v>
      </c>
      <c r="D59" s="27">
        <f aca="true" t="shared" si="25" ref="D59:O59">D58/(D58+D56)</f>
        <v>0.37017636223275824</v>
      </c>
      <c r="E59" s="27">
        <f t="shared" si="25"/>
        <v>0.40915767397766006</v>
      </c>
      <c r="F59" s="27">
        <f t="shared" si="25"/>
        <v>0.41371693699391093</v>
      </c>
      <c r="G59" s="27">
        <f t="shared" si="25"/>
        <v>0.37247101911574143</v>
      </c>
      <c r="H59" s="27">
        <f t="shared" si="25"/>
        <v>0.3171194017412975</v>
      </c>
      <c r="I59" s="27">
        <f t="shared" si="25"/>
        <v>0.24950307677864902</v>
      </c>
      <c r="J59" s="27">
        <f t="shared" si="25"/>
        <v>0.16881017134036347</v>
      </c>
      <c r="K59" s="27">
        <f t="shared" si="25"/>
        <v>0.16881017134036347</v>
      </c>
      <c r="L59" s="27">
        <f t="shared" si="25"/>
        <v>0.16881017134036347</v>
      </c>
      <c r="M59" s="27">
        <f t="shared" si="25"/>
        <v>0.16881017134036347</v>
      </c>
      <c r="N59" s="27">
        <f t="shared" si="25"/>
        <v>0.1688101713403635</v>
      </c>
      <c r="O59" s="27">
        <f t="shared" si="25"/>
        <v>0.16881017134036352</v>
      </c>
    </row>
    <row r="60" ht="10.5">
      <c r="B60" s="43"/>
    </row>
    <row r="61" spans="2:15" ht="10.5">
      <c r="B61" s="42">
        <v>12</v>
      </c>
      <c r="C61" s="28" t="s">
        <v>9</v>
      </c>
      <c r="D61" s="28"/>
      <c r="E61" s="28">
        <f aca="true" t="shared" si="26" ref="E61:O61">D59*E54*(1-E52)+(1-D59)*E53</f>
        <v>0.11708241642399139</v>
      </c>
      <c r="F61" s="28">
        <f t="shared" si="26"/>
        <v>0.11540622001896061</v>
      </c>
      <c r="G61" s="28">
        <f t="shared" si="26"/>
        <v>0.11521017170926184</v>
      </c>
      <c r="H61" s="28">
        <f t="shared" si="26"/>
        <v>0.11698374617802312</v>
      </c>
      <c r="I61" s="28">
        <f t="shared" si="26"/>
        <v>0.1159389761863182</v>
      </c>
      <c r="J61" s="28">
        <f t="shared" si="26"/>
        <v>0.11441202077999066</v>
      </c>
      <c r="K61" s="28">
        <f t="shared" si="26"/>
        <v>0.12042364223514293</v>
      </c>
      <c r="L61" s="28">
        <f t="shared" si="26"/>
        <v>0.12042364223514293</v>
      </c>
      <c r="M61" s="28">
        <f t="shared" si="26"/>
        <v>0.12042364223514293</v>
      </c>
      <c r="N61" s="28">
        <f t="shared" si="26"/>
        <v>0.12042364223514293</v>
      </c>
      <c r="O61" s="28">
        <f t="shared" si="26"/>
        <v>0.12042364223514293</v>
      </c>
    </row>
    <row r="62" spans="2:15" ht="10.5">
      <c r="B62" s="42">
        <v>13</v>
      </c>
      <c r="C62" s="30" t="s">
        <v>22</v>
      </c>
      <c r="D62" s="21"/>
      <c r="E62" s="21">
        <f aca="true" t="shared" si="27" ref="E62:O62">(E61-D59*E54*(1-E52))/(1-D59)</f>
        <v>0.13300000000000003</v>
      </c>
      <c r="F62" s="21">
        <f t="shared" si="27"/>
        <v>0.133</v>
      </c>
      <c r="G62" s="21">
        <f t="shared" si="27"/>
        <v>0.133</v>
      </c>
      <c r="H62" s="21">
        <f t="shared" si="27"/>
        <v>0.133</v>
      </c>
      <c r="I62" s="21">
        <f t="shared" si="27"/>
        <v>0.133</v>
      </c>
      <c r="J62" s="21">
        <f t="shared" si="27"/>
        <v>0.133</v>
      </c>
      <c r="K62" s="21">
        <f t="shared" si="27"/>
        <v>0.133</v>
      </c>
      <c r="L62" s="21">
        <f t="shared" si="27"/>
        <v>0.133</v>
      </c>
      <c r="M62" s="21">
        <f t="shared" si="27"/>
        <v>0.133</v>
      </c>
      <c r="N62" s="21">
        <f t="shared" si="27"/>
        <v>0.133</v>
      </c>
      <c r="O62" s="21">
        <f t="shared" si="27"/>
        <v>0.133</v>
      </c>
    </row>
    <row r="63" spans="2:10" ht="10.5">
      <c r="B63" s="16"/>
      <c r="C63" s="8"/>
      <c r="D63" s="8"/>
      <c r="E63" s="8"/>
      <c r="F63" s="8"/>
      <c r="G63" s="8"/>
      <c r="H63" s="8"/>
      <c r="I63" s="8"/>
      <c r="J63" s="8"/>
    </row>
    <row r="64" spans="2:10" ht="10.5">
      <c r="B64" s="16"/>
      <c r="C64" s="8"/>
      <c r="D64" s="8"/>
      <c r="E64" s="8"/>
      <c r="F64" s="8"/>
      <c r="G64" s="8"/>
      <c r="H64" s="8"/>
      <c r="I64" s="8"/>
      <c r="J64" s="8"/>
    </row>
    <row r="65" spans="2:10" ht="10.5">
      <c r="B65" s="16"/>
      <c r="C65" s="17"/>
      <c r="D65" s="17" t="s">
        <v>16</v>
      </c>
      <c r="E65" s="8"/>
      <c r="F65" s="8"/>
      <c r="G65" s="8"/>
      <c r="H65" s="8"/>
      <c r="I65" s="8"/>
      <c r="J65" s="8"/>
    </row>
    <row r="66" spans="2:11" ht="10.5">
      <c r="B66" s="16"/>
      <c r="C66" s="17" t="s">
        <v>15</v>
      </c>
      <c r="D66" s="50"/>
      <c r="E66" s="8"/>
      <c r="F66" s="8"/>
      <c r="G66" s="8"/>
      <c r="H66" s="8"/>
      <c r="I66" s="8"/>
      <c r="J66" s="17" t="s">
        <v>15</v>
      </c>
      <c r="K66" s="50"/>
    </row>
    <row r="67" spans="2:11" ht="10.5">
      <c r="B67" s="16"/>
      <c r="C67" s="17" t="s">
        <v>21</v>
      </c>
      <c r="D67" s="34">
        <f>SUM(E44:L44)</f>
        <v>1035.3903265334543</v>
      </c>
      <c r="E67" s="8"/>
      <c r="F67" s="8"/>
      <c r="G67" s="8"/>
      <c r="H67" s="8"/>
      <c r="I67" s="8"/>
      <c r="J67" s="17" t="s">
        <v>3</v>
      </c>
      <c r="K67" s="34">
        <f>SUM(E44:J44)</f>
        <v>588.4917500729648</v>
      </c>
    </row>
    <row r="68" spans="2:11" ht="10.5">
      <c r="B68" s="16"/>
      <c r="C68" s="17" t="s">
        <v>7</v>
      </c>
      <c r="D68" s="34">
        <f>L45</f>
        <v>2163.085105173145</v>
      </c>
      <c r="E68" s="8"/>
      <c r="F68" s="8"/>
      <c r="G68" s="8"/>
      <c r="H68" s="8"/>
      <c r="I68" s="8"/>
      <c r="J68" s="17" t="s">
        <v>7</v>
      </c>
      <c r="K68" s="34">
        <f>K45+K44</f>
        <v>2609.983681633635</v>
      </c>
    </row>
    <row r="69" spans="2:11" ht="10.5">
      <c r="B69" s="16"/>
      <c r="C69" s="6" t="s">
        <v>8</v>
      </c>
      <c r="D69" s="46">
        <f>SUM(D67:D68)</f>
        <v>3198.4754317065995</v>
      </c>
      <c r="E69" s="8"/>
      <c r="F69" s="8"/>
      <c r="G69" s="8"/>
      <c r="H69" s="8"/>
      <c r="I69" s="8"/>
      <c r="J69" s="6" t="s">
        <v>8</v>
      </c>
      <c r="K69" s="46">
        <f>SUM(K67:K68)</f>
        <v>3198.4754317066</v>
      </c>
    </row>
    <row r="70" spans="2:11" ht="10.5">
      <c r="B70" s="16"/>
      <c r="C70" s="17" t="s">
        <v>5</v>
      </c>
      <c r="D70" s="34">
        <f>-D58</f>
        <v>-1184</v>
      </c>
      <c r="E70" s="8"/>
      <c r="F70" s="52" t="s">
        <v>25</v>
      </c>
      <c r="G70" s="53"/>
      <c r="H70" s="8"/>
      <c r="I70" s="8"/>
      <c r="J70" s="17" t="s">
        <v>5</v>
      </c>
      <c r="K70" s="34">
        <f>-D58</f>
        <v>-1184</v>
      </c>
    </row>
    <row r="71" spans="2:11" ht="10.5">
      <c r="B71" s="16"/>
      <c r="C71" s="4" t="s">
        <v>6</v>
      </c>
      <c r="D71" s="46">
        <f>D69+D70</f>
        <v>2014.4754317065995</v>
      </c>
      <c r="E71" s="8"/>
      <c r="F71" s="54">
        <f>D71-D13</f>
        <v>-1017.9212376714217</v>
      </c>
      <c r="G71" s="55">
        <f>F71/D13</f>
        <v>-0.3356820853784307</v>
      </c>
      <c r="H71" s="8"/>
      <c r="I71" s="8"/>
      <c r="J71" s="4" t="s">
        <v>6</v>
      </c>
      <c r="K71" s="46">
        <f>K69+K70</f>
        <v>2014.4754317066</v>
      </c>
    </row>
    <row r="72" spans="2:10" ht="10.5">
      <c r="B72" s="16"/>
      <c r="C72" s="8"/>
      <c r="D72" s="8"/>
      <c r="E72" s="8"/>
      <c r="F72" s="8"/>
      <c r="G72" s="8"/>
      <c r="H72" s="8"/>
      <c r="I72" s="8"/>
      <c r="J72" s="8"/>
    </row>
    <row r="73" spans="2:10" ht="10.5">
      <c r="B73" s="16"/>
      <c r="C73" s="8"/>
      <c r="D73" s="8"/>
      <c r="E73" s="8"/>
      <c r="F73" s="8"/>
      <c r="G73" s="8"/>
      <c r="H73" s="8"/>
      <c r="I73" s="8"/>
      <c r="J73" s="8"/>
    </row>
    <row r="74" spans="2:15" ht="10.5">
      <c r="B74" s="16"/>
      <c r="C74" s="3" t="s">
        <v>17</v>
      </c>
      <c r="D74" s="11"/>
      <c r="E74" s="11"/>
      <c r="F74" s="11">
        <f>F56/E56-1</f>
        <v>0.133</v>
      </c>
      <c r="G74" s="11">
        <f aca="true" t="shared" si="28" ref="G74:N74">G56/F56-1</f>
        <v>0.133</v>
      </c>
      <c r="H74" s="11">
        <f t="shared" si="28"/>
        <v>0.133</v>
      </c>
      <c r="I74" s="11">
        <f t="shared" si="28"/>
        <v>0.12266319656056712</v>
      </c>
      <c r="J74" s="11">
        <f t="shared" si="28"/>
        <v>0.12360845715747781</v>
      </c>
      <c r="K74" s="11">
        <f t="shared" si="28"/>
        <v>0.019999999999999796</v>
      </c>
      <c r="L74" s="56">
        <f t="shared" si="28"/>
        <v>0.020000000000000018</v>
      </c>
      <c r="M74" s="11">
        <f t="shared" si="28"/>
        <v>0.020000000000000018</v>
      </c>
      <c r="N74" s="11">
        <f t="shared" si="28"/>
        <v>0.019999999999999796</v>
      </c>
      <c r="O74" s="11">
        <f>O56/N56-1</f>
        <v>0.019999999999999796</v>
      </c>
    </row>
    <row r="75" spans="2:15" ht="10.5">
      <c r="B75" s="16"/>
      <c r="C75" s="3" t="s">
        <v>18</v>
      </c>
      <c r="D75" s="11"/>
      <c r="E75" s="11"/>
      <c r="F75" s="45">
        <f>F58/E58-1</f>
        <v>0.15453408918358047</v>
      </c>
      <c r="G75" s="45">
        <f aca="true" t="shared" si="29" ref="G75:N75">G58/F58-1</f>
        <v>-0.047000534411684725</v>
      </c>
      <c r="H75" s="45">
        <f t="shared" si="29"/>
        <v>-0.11356019466095701</v>
      </c>
      <c r="I75" s="45">
        <f t="shared" si="29"/>
        <v>-0.1962917329866085</v>
      </c>
      <c r="J75" s="45">
        <f t="shared" si="29"/>
        <v>-0.31358557671190757</v>
      </c>
      <c r="K75" s="45">
        <f t="shared" si="29"/>
        <v>0.020000000000000018</v>
      </c>
      <c r="L75" s="57">
        <f t="shared" si="29"/>
        <v>0.020000000000000018</v>
      </c>
      <c r="M75" s="45">
        <f t="shared" si="29"/>
        <v>0.020000000000000018</v>
      </c>
      <c r="N75" s="45">
        <f t="shared" si="29"/>
        <v>0.020000000000000018</v>
      </c>
      <c r="O75" s="45">
        <f>O58/N58-1</f>
        <v>0.020000000000000018</v>
      </c>
    </row>
    <row r="76" spans="2:15" ht="10.5">
      <c r="B76" s="16"/>
      <c r="C76" s="3" t="s">
        <v>23</v>
      </c>
      <c r="D76" s="11"/>
      <c r="E76" s="11"/>
      <c r="F76" s="45">
        <f>F49/E49-1</f>
        <v>-0.6482758620689655</v>
      </c>
      <c r="G76" s="45">
        <f aca="true" t="shared" si="30" ref="G76:N76">G49/F49-1</f>
        <v>-3.450980392156863</v>
      </c>
      <c r="H76" s="45">
        <f t="shared" si="30"/>
        <v>0.4159999999999999</v>
      </c>
      <c r="I76" s="45">
        <f t="shared" si="30"/>
        <v>0.2966101694915255</v>
      </c>
      <c r="J76" s="45">
        <f t="shared" si="30"/>
        <v>0.08061002178649246</v>
      </c>
      <c r="K76" s="45">
        <f t="shared" si="30"/>
        <v>0.020000000000000018</v>
      </c>
      <c r="L76" s="57">
        <f t="shared" si="30"/>
        <v>0.020000000000000018</v>
      </c>
      <c r="M76" s="45">
        <f t="shared" si="30"/>
        <v>0.020000000000000018</v>
      </c>
      <c r="N76" s="45">
        <f t="shared" si="30"/>
        <v>0.020000000000000018</v>
      </c>
      <c r="O76" s="45">
        <f>O49/N49-1</f>
        <v>0.020000000000000018</v>
      </c>
    </row>
    <row r="77" spans="2:15" ht="10.5">
      <c r="B77" s="16"/>
      <c r="C77" s="3" t="s">
        <v>19</v>
      </c>
      <c r="D77" s="11"/>
      <c r="E77" s="11"/>
      <c r="F77" s="45"/>
      <c r="G77" s="45"/>
      <c r="H77" s="45"/>
      <c r="I77" s="45"/>
      <c r="J77" s="45">
        <f>J50/I50-1</f>
        <v>0.020000000000000018</v>
      </c>
      <c r="K77" s="19">
        <f>K50/J50-1</f>
        <v>12.51937139485972</v>
      </c>
      <c r="L77" s="57">
        <f>L50/K50-1</f>
        <v>0.020000000000000018</v>
      </c>
      <c r="M77" s="45">
        <f>M50/L50-1</f>
        <v>0.020000000000000018</v>
      </c>
      <c r="N77" s="45">
        <f>N50/M50-1</f>
        <v>0.020000000000000018</v>
      </c>
      <c r="O77" s="45">
        <f>O50/N50-1</f>
        <v>0.019999999999999796</v>
      </c>
    </row>
    <row r="78" spans="2:15" ht="10.5">
      <c r="B78" s="16"/>
      <c r="C78" s="8" t="s">
        <v>24</v>
      </c>
      <c r="D78" s="8"/>
      <c r="E78" s="8"/>
      <c r="F78" s="45">
        <f>F51/E51-1</f>
        <v>0.3349324324324323</v>
      </c>
      <c r="G78" s="45">
        <f aca="true" t="shared" si="31" ref="G78:N78">G51/F51-1</f>
        <v>0.15453408918358047</v>
      </c>
      <c r="H78" s="45">
        <f t="shared" si="31"/>
        <v>-0.047000534411684614</v>
      </c>
      <c r="I78" s="45">
        <f t="shared" si="31"/>
        <v>-0.11356019466095713</v>
      </c>
      <c r="J78" s="45">
        <f t="shared" si="31"/>
        <v>-0.1962917329866084</v>
      </c>
      <c r="K78" s="45">
        <f t="shared" si="31"/>
        <v>-0.31358557671190757</v>
      </c>
      <c r="L78" s="58">
        <f t="shared" si="31"/>
        <v>0.020000000000000018</v>
      </c>
      <c r="M78" s="45">
        <f t="shared" si="31"/>
        <v>0.02000000000000024</v>
      </c>
      <c r="N78" s="45">
        <f t="shared" si="31"/>
        <v>0.020000000000000018</v>
      </c>
      <c r="O78" s="45">
        <f>O51/N51-1</f>
        <v>0.020000000000000018</v>
      </c>
    </row>
    <row r="79" spans="2:10" ht="10.5">
      <c r="B79" s="16"/>
      <c r="C79" s="8"/>
      <c r="D79" s="8"/>
      <c r="E79" s="8"/>
      <c r="F79" s="8"/>
      <c r="G79" s="8"/>
      <c r="H79" s="8"/>
      <c r="I79" s="8"/>
      <c r="J79" s="8"/>
    </row>
    <row r="80" spans="2:10" ht="10.5">
      <c r="B80" s="16"/>
      <c r="C80" s="8"/>
      <c r="D80" s="8"/>
      <c r="E80" s="8"/>
      <c r="F80" s="8"/>
      <c r="G80" s="8"/>
      <c r="H80" s="8"/>
      <c r="I80" s="8"/>
      <c r="J80" s="8"/>
    </row>
    <row r="81" spans="2:10" ht="10.5">
      <c r="B81" s="16"/>
      <c r="C81" s="8"/>
      <c r="D81" s="8"/>
      <c r="E81" s="8"/>
      <c r="F81" s="8"/>
      <c r="G81" s="8"/>
      <c r="H81" s="8"/>
      <c r="I81" s="8"/>
      <c r="J81" s="8"/>
    </row>
    <row r="82" spans="2:10" ht="10.5">
      <c r="B82" s="16"/>
      <c r="C82" s="8"/>
      <c r="D82" s="8"/>
      <c r="E82" s="8"/>
      <c r="F82" s="8"/>
      <c r="G82" s="8"/>
      <c r="H82" s="8"/>
      <c r="I82" s="8"/>
      <c r="J82" s="8"/>
    </row>
    <row r="83" spans="2:10" ht="10.5">
      <c r="B83" s="16"/>
      <c r="C83" s="8"/>
      <c r="D83" s="8"/>
      <c r="E83" s="8"/>
      <c r="F83" s="8"/>
      <c r="G83" s="8"/>
      <c r="H83" s="8"/>
      <c r="I83" s="8"/>
      <c r="J83" s="8"/>
    </row>
    <row r="84" spans="2:10" ht="10.5">
      <c r="B84" s="16"/>
      <c r="C84" s="8"/>
      <c r="D84" s="8"/>
      <c r="E84" s="8"/>
      <c r="F84" s="8"/>
      <c r="G84" s="8"/>
      <c r="H84" s="8"/>
      <c r="I84" s="8"/>
      <c r="J84" s="8"/>
    </row>
    <row r="85" spans="2:10" ht="10.5">
      <c r="B85" s="16"/>
      <c r="C85" s="8"/>
      <c r="D85" s="8"/>
      <c r="E85" s="8"/>
      <c r="F85" s="8"/>
      <c r="G85" s="8"/>
      <c r="H85" s="8"/>
      <c r="I85" s="8"/>
      <c r="J85" s="8"/>
    </row>
    <row r="86" spans="2:10" ht="10.5">
      <c r="B86" s="16"/>
      <c r="C86" s="8"/>
      <c r="D86" s="8"/>
      <c r="E86" s="8"/>
      <c r="F86" s="8"/>
      <c r="G86" s="8"/>
      <c r="H86" s="8"/>
      <c r="I86" s="8"/>
      <c r="J86" s="8"/>
    </row>
    <row r="87" spans="2:10" ht="10.5">
      <c r="B87" s="16"/>
      <c r="C87" s="8"/>
      <c r="D87" s="8"/>
      <c r="E87" s="8"/>
      <c r="F87" s="8"/>
      <c r="G87" s="8"/>
      <c r="H87" s="8"/>
      <c r="I87" s="8"/>
      <c r="J87" s="8"/>
    </row>
    <row r="88" spans="2:10" ht="10.5">
      <c r="B88" s="16"/>
      <c r="C88" s="8"/>
      <c r="D88" s="8"/>
      <c r="E88" s="8"/>
      <c r="F88" s="8"/>
      <c r="G88" s="8"/>
      <c r="H88" s="8"/>
      <c r="I88" s="8"/>
      <c r="J88" s="8"/>
    </row>
    <row r="89" spans="2:10" ht="10.5">
      <c r="B89" s="16"/>
      <c r="C89" s="8"/>
      <c r="D89" s="8"/>
      <c r="E89" s="8"/>
      <c r="F89" s="8"/>
      <c r="G89" s="8"/>
      <c r="H89" s="8"/>
      <c r="I89" s="8"/>
      <c r="J89" s="8"/>
    </row>
    <row r="90" spans="2:10" ht="10.5">
      <c r="B90" s="16"/>
      <c r="C90" s="8"/>
      <c r="D90" s="8"/>
      <c r="E90" s="8"/>
      <c r="F90" s="8"/>
      <c r="G90" s="8"/>
      <c r="H90" s="8"/>
      <c r="I90" s="8"/>
      <c r="J90" s="8"/>
    </row>
    <row r="91" spans="2:10" ht="10.5">
      <c r="B91" s="16"/>
      <c r="C91" s="8"/>
      <c r="D91" s="8"/>
      <c r="E91" s="8"/>
      <c r="F91" s="8"/>
      <c r="G91" s="8"/>
      <c r="H91" s="8"/>
      <c r="I91" s="8"/>
      <c r="J91" s="8"/>
    </row>
    <row r="92" spans="2:10" ht="10.5">
      <c r="B92" s="16"/>
      <c r="C92" s="8"/>
      <c r="D92" s="8"/>
      <c r="E92" s="8"/>
      <c r="F92" s="8"/>
      <c r="G92" s="8"/>
      <c r="H92" s="8"/>
      <c r="I92" s="8"/>
      <c r="J92" s="8"/>
    </row>
    <row r="93" spans="2:10" ht="10.5">
      <c r="B93" s="16"/>
      <c r="C93" s="8"/>
      <c r="D93" s="8"/>
      <c r="E93" s="8"/>
      <c r="F93" s="8"/>
      <c r="G93" s="8"/>
      <c r="H93" s="8"/>
      <c r="I93" s="8"/>
      <c r="J93" s="8"/>
    </row>
    <row r="94" spans="2:10" ht="10.5">
      <c r="B94" s="16"/>
      <c r="C94" s="8"/>
      <c r="D94" s="8"/>
      <c r="E94" s="8"/>
      <c r="F94" s="8"/>
      <c r="G94" s="8"/>
      <c r="H94" s="8"/>
      <c r="I94" s="8"/>
      <c r="J94" s="8"/>
    </row>
    <row r="95" spans="2:10" ht="10.5">
      <c r="B95" s="16"/>
      <c r="C95" s="8"/>
      <c r="D95" s="8"/>
      <c r="E95" s="8"/>
      <c r="F95" s="8"/>
      <c r="G95" s="8"/>
      <c r="H95" s="8"/>
      <c r="I95" s="8"/>
      <c r="J95" s="8"/>
    </row>
    <row r="96" spans="2:10" ht="10.5">
      <c r="B96" s="16"/>
      <c r="C96" s="8"/>
      <c r="D96" s="8"/>
      <c r="E96" s="8"/>
      <c r="F96" s="8"/>
      <c r="G96" s="8"/>
      <c r="H96" s="8"/>
      <c r="I96" s="8"/>
      <c r="J96" s="8"/>
    </row>
    <row r="97" spans="2:10" ht="10.5">
      <c r="B97" s="16"/>
      <c r="C97" s="8"/>
      <c r="D97" s="8"/>
      <c r="E97" s="8"/>
      <c r="F97" s="8"/>
      <c r="G97" s="8"/>
      <c r="H97" s="8"/>
      <c r="I97" s="8"/>
      <c r="J97" s="8"/>
    </row>
    <row r="98" spans="2:10" ht="10.5">
      <c r="B98" s="16"/>
      <c r="C98" s="8"/>
      <c r="D98" s="8"/>
      <c r="E98" s="8"/>
      <c r="F98" s="8"/>
      <c r="G98" s="8"/>
      <c r="H98" s="8"/>
      <c r="I98" s="8"/>
      <c r="J98" s="8"/>
    </row>
    <row r="99" spans="2:10" ht="10.5">
      <c r="B99" s="16"/>
      <c r="C99" s="8"/>
      <c r="D99" s="8"/>
      <c r="E99" s="8"/>
      <c r="F99" s="8"/>
      <c r="G99" s="8"/>
      <c r="H99" s="8"/>
      <c r="I99" s="8"/>
      <c r="J99" s="8"/>
    </row>
    <row r="100" spans="2:10" ht="10.5">
      <c r="B100" s="16"/>
      <c r="C100" s="8"/>
      <c r="D100" s="8"/>
      <c r="E100" s="8"/>
      <c r="F100" s="8"/>
      <c r="G100" s="8"/>
      <c r="H100" s="8"/>
      <c r="I100" s="8"/>
      <c r="J100" s="8"/>
    </row>
    <row r="101" spans="2:10" ht="10.5">
      <c r="B101" s="16"/>
      <c r="C101" s="8"/>
      <c r="D101" s="8"/>
      <c r="E101" s="8"/>
      <c r="F101" s="8"/>
      <c r="G101" s="8"/>
      <c r="H101" s="8"/>
      <c r="I101" s="8"/>
      <c r="J101" s="8"/>
    </row>
    <row r="102" spans="2:10" ht="10.5">
      <c r="B102" s="16"/>
      <c r="C102" s="8"/>
      <c r="D102" s="8"/>
      <c r="E102" s="8"/>
      <c r="F102" s="8"/>
      <c r="G102" s="8"/>
      <c r="H102" s="8"/>
      <c r="I102" s="8"/>
      <c r="J102" s="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Pablo Fernández</cp:lastModifiedBy>
  <dcterms:created xsi:type="dcterms:W3CDTF">2002-02-09T09:48:41Z</dcterms:created>
  <dcterms:modified xsi:type="dcterms:W3CDTF">2015-05-28T17:49:03Z</dcterms:modified>
  <cp:category/>
  <cp:version/>
  <cp:contentType/>
  <cp:contentStatus/>
</cp:coreProperties>
</file>