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35" windowHeight="9975" tabRatio="772" activeTab="0"/>
  </bookViews>
  <sheets>
    <sheet name="Tables1-4" sheetId="1" r:id="rId1"/>
    <sheet name="Tables5-9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<sst xmlns="http://schemas.openxmlformats.org/spreadsheetml/2006/main" count="128" uniqueCount="93">
  <si>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>Table 1. Valuation of a broadcasting company performed by an investment bank</t>
  </si>
  <si>
    <t>Data provided by the investment bank in italics</t>
  </si>
  <si>
    <t>FCF</t>
  </si>
  <si>
    <t>ECF</t>
  </si>
  <si>
    <t>Interest expenses</t>
  </si>
  <si>
    <t>Effective tax rate</t>
  </si>
  <si>
    <t>Ke</t>
  </si>
  <si>
    <t>Kd</t>
  </si>
  <si>
    <t>WACC used in the valuation</t>
  </si>
  <si>
    <t>Equity value (E)</t>
  </si>
  <si>
    <t>∆D =  ECF - FCF + Int (1-T)</t>
  </si>
  <si>
    <t>Debt value (D)</t>
  </si>
  <si>
    <t>D/(D+E)</t>
  </si>
  <si>
    <t>WACC using lines 4,5,6,8,10</t>
  </si>
  <si>
    <t>Table 2.  Valuation using the wrong WACC of 10%</t>
  </si>
  <si>
    <t>Present value in 2002 using a WACC of 10%</t>
  </si>
  <si>
    <t>Present value in 2002 of the free cash flows 2003-2008</t>
  </si>
  <si>
    <t>Present value in 2002 of the residual value (g=2%)</t>
  </si>
  <si>
    <t>Sum</t>
  </si>
  <si>
    <t>Minus debt</t>
  </si>
  <si>
    <t>Equity value</t>
  </si>
  <si>
    <t>Table 3. Valuation calculating the WACC correctly</t>
  </si>
  <si>
    <t>WACC calculated with 4,5,6,8,10</t>
  </si>
  <si>
    <t>Table 4. Valuation using the corrected WACC from Table3</t>
  </si>
  <si>
    <t>Present value in 2002 using the WACC calculated in Table 3</t>
  </si>
  <si>
    <t>Table 5. Balance sheet and income statement forecasts</t>
  </si>
  <si>
    <t>WCR (working capital requirements)</t>
  </si>
  <si>
    <t>Gross fixed assets</t>
  </si>
  <si>
    <t xml:space="preserve"> - accumulated depreciation</t>
  </si>
  <si>
    <t>Net fixed assets</t>
  </si>
  <si>
    <t>TOTAL ASSETS</t>
  </si>
  <si>
    <t>Debt (N)</t>
  </si>
  <si>
    <t>Equity (book value)</t>
  </si>
  <si>
    <t>TOTAL LIABILITIES</t>
  </si>
  <si>
    <t>Income statement</t>
  </si>
  <si>
    <t>Margin</t>
  </si>
  <si>
    <t>Interest payments</t>
  </si>
  <si>
    <t>PBT (profit before tax)</t>
  </si>
  <si>
    <t>Taxes</t>
  </si>
  <si>
    <r>
      <t>PAT</t>
    </r>
    <r>
      <rPr>
        <sz val="9"/>
        <color indexed="8"/>
        <rFont val="Times New Roman"/>
        <family val="1"/>
      </rPr>
      <t xml:space="preserve"> (profit after tax = net income)</t>
    </r>
  </si>
  <si>
    <t>Table 6. Cash flow forecasts</t>
  </si>
  <si>
    <r>
      <t>PAT</t>
    </r>
    <r>
      <rPr>
        <sz val="9"/>
        <color indexed="8"/>
        <rFont val="Times New Roman"/>
        <family val="1"/>
      </rPr>
      <t xml:space="preserve"> (profit after tax)</t>
    </r>
  </si>
  <si>
    <t xml:space="preserve"> + depreciation</t>
  </si>
  <si>
    <t xml:space="preserve"> + increase of debt</t>
  </si>
  <si>
    <t xml:space="preserve"> - increase of working capital requirements</t>
  </si>
  <si>
    <t xml:space="preserve"> - investment in fixed assets</t>
  </si>
  <si>
    <t>FCF [3]</t>
  </si>
  <si>
    <t>CFd</t>
  </si>
  <si>
    <t>Table 7. Valuation according to Fernandez (2007)</t>
  </si>
  <si>
    <t>E  = PV(Ke;ECF)</t>
  </si>
  <si>
    <t>D = PV(CFd;Kd)</t>
  </si>
  <si>
    <t>E+D = PV(WACC;FCF)</t>
  </si>
  <si>
    <t>WACC</t>
  </si>
  <si>
    <t xml:space="preserve">[4] - D = E </t>
  </si>
  <si>
    <t>VTS = PV(Ku;D T Ku)</t>
  </si>
  <si>
    <t>Vu = PV(Ku;FCF)</t>
  </si>
  <si>
    <t>VTS + Vu</t>
  </si>
  <si>
    <t>[9] - D = E</t>
  </si>
  <si>
    <t>Table 8. Valuation according to Miles and Ezzell</t>
  </si>
  <si>
    <r>
      <t xml:space="preserve">VTS = </t>
    </r>
    <r>
      <rPr>
        <sz val="9"/>
        <color indexed="8"/>
        <rFont val="Times New Roman"/>
        <family val="1"/>
      </rPr>
      <t>PV[Ku; T D Kd] (1+Ku)/(1+Kd)</t>
    </r>
  </si>
  <si>
    <t>Table 9. Valuation according to Myers</t>
  </si>
  <si>
    <t>VTS = PV(Kd;D Kd T)</t>
  </si>
  <si>
    <t xml:space="preserve">g= </t>
  </si>
  <si>
    <t>Rf</t>
  </si>
  <si>
    <t>Ku</t>
  </si>
  <si>
    <t>T</t>
  </si>
  <si>
    <t>Terminal value FCF</t>
  </si>
  <si>
    <t>sum</t>
  </si>
  <si>
    <t>DTKu</t>
  </si>
  <si>
    <t>Terminal value DTKu</t>
  </si>
  <si>
    <t>Terminal value CFd</t>
  </si>
  <si>
    <t>Terminal value ECF</t>
  </si>
  <si>
    <t>discount for ECF</t>
  </si>
  <si>
    <t>PV(ECF)</t>
  </si>
  <si>
    <t>discount for FCF</t>
  </si>
  <si>
    <t>PV(FCF)</t>
  </si>
  <si>
    <t xml:space="preserve">[4] </t>
  </si>
  <si>
    <t xml:space="preserve">[9] </t>
  </si>
  <si>
    <t>DTKd</t>
  </si>
  <si>
    <t>Terminal value DTKd</t>
  </si>
  <si>
    <r>
      <rPr>
        <b/>
        <sz val="9"/>
        <color indexed="8"/>
        <rFont val="Times New Roman"/>
        <family val="1"/>
      </rPr>
      <t>E =</t>
    </r>
    <r>
      <rPr>
        <sz val="9"/>
        <color indexed="8"/>
        <rFont val="Times New Roman"/>
        <family val="1"/>
      </rPr>
      <t xml:space="preserve"> Vu + VTS -D</t>
    </r>
  </si>
  <si>
    <r>
      <rPr>
        <b/>
        <sz val="9"/>
        <color indexed="8"/>
        <rFont val="Times New Roman"/>
        <family val="1"/>
      </rPr>
      <t xml:space="preserve">E = </t>
    </r>
    <r>
      <rPr>
        <sz val="9"/>
        <color indexed="8"/>
        <rFont val="Times New Roman"/>
        <family val="1"/>
      </rPr>
      <t>Vu + VTS -D</t>
    </r>
  </si>
  <si>
    <t>For calculations Myers Table 9</t>
  </si>
  <si>
    <t>For calculations Miles &amp; Ezzell. Table 8</t>
  </si>
  <si>
    <t>For calculations Fernandez. Table7</t>
  </si>
  <si>
    <t>in 2010</t>
  </si>
  <si>
    <t>residual value</t>
  </si>
  <si>
    <t>residual value in 2009</t>
  </si>
  <si>
    <t>Present value in 2002 of the free cash flows 2003-2009</t>
  </si>
  <si>
    <t>Discount Factor</t>
  </si>
  <si>
    <t>PV FCF</t>
  </si>
  <si>
    <t>PV Residual value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</si>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</sst>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_-[$$-409]* #,##0.00_ ;_-[$$-409]* \-#,##0.00\ ;_-[$$-409]* &quot;-&quot;??_ ;_-@_ "/>
    <numFmt numFmtId="174" formatCode="\9\1\9\9\%"/>
    <numFmt numFmtId="175" formatCode="0.0%"/>
    <numFmt numFmtId="176" formatCode="0.000%"/>
    <numFmt numFmtId="177" formatCode="0.0000%"/>
    <numFmt numFmtId="178" formatCode="[$-C0A]dddd\,\ dd&quot; de &quot;mmmm&quot; de &quot;yyyy"/>
    <numFmt numFmtId="179" formatCode="#,##0.0"/>
    <numFmt numFmtId="180" formatCode="#,##0.00_ ;[Red]\-#,##0.00\ "/>
    <numFmt numFmtId="181" formatCode="#,##0.0\ &quot;€&quot;;[Red]\-#,##0.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5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5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0"/>
      <color theme="1"/>
      <name val="Arial Narrow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5" fillId="0" borderId="18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58" fillId="0" borderId="15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left" vertical="center"/>
    </xf>
    <xf numFmtId="10" fontId="58" fillId="0" borderId="21" xfId="0" applyNumberFormat="1" applyFont="1" applyBorder="1" applyAlignment="1">
      <alignment horizontal="right" vertical="center"/>
    </xf>
    <xf numFmtId="10" fontId="58" fillId="0" borderId="17" xfId="0" applyNumberFormat="1" applyFont="1" applyBorder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8" fillId="0" borderId="22" xfId="0" applyNumberFormat="1" applyFont="1" applyBorder="1" applyAlignment="1">
      <alignment horizontal="right" vertical="center"/>
    </xf>
    <xf numFmtId="179" fontId="54" fillId="0" borderId="0" xfId="0" applyNumberFormat="1" applyFont="1" applyAlignment="1">
      <alignment horizontal="right" vertical="center"/>
    </xf>
    <xf numFmtId="179" fontId="54" fillId="0" borderId="22" xfId="0" applyNumberFormat="1" applyFont="1" applyBorder="1" applyAlignment="1">
      <alignment horizontal="right" vertical="center"/>
    </xf>
    <xf numFmtId="179" fontId="53" fillId="0" borderId="21" xfId="0" applyNumberFormat="1" applyFont="1" applyBorder="1" applyAlignment="1">
      <alignment horizontal="right" vertical="center"/>
    </xf>
    <xf numFmtId="179" fontId="56" fillId="0" borderId="0" xfId="0" applyNumberFormat="1" applyFont="1" applyAlignment="1">
      <alignment horizontal="right" vertical="center"/>
    </xf>
    <xf numFmtId="179" fontId="54" fillId="0" borderId="23" xfId="0" applyNumberFormat="1" applyFont="1" applyBorder="1" applyAlignment="1">
      <alignment horizontal="right" vertical="center"/>
    </xf>
    <xf numFmtId="179" fontId="54" fillId="0" borderId="10" xfId="0" applyNumberFormat="1" applyFont="1" applyBorder="1" applyAlignment="1">
      <alignment horizontal="right" vertical="center"/>
    </xf>
    <xf numFmtId="179" fontId="5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/>
    </xf>
    <xf numFmtId="179" fontId="51" fillId="0" borderId="0" xfId="0" applyNumberFormat="1" applyFont="1" applyAlignment="1">
      <alignment horizontal="left" vertical="center"/>
    </xf>
    <xf numFmtId="179" fontId="54" fillId="0" borderId="23" xfId="0" applyNumberFormat="1" applyFont="1" applyBorder="1" applyAlignment="1">
      <alignment vertical="center"/>
    </xf>
    <xf numFmtId="179" fontId="53" fillId="0" borderId="24" xfId="0" applyNumberFormat="1" applyFont="1" applyBorder="1" applyAlignment="1">
      <alignment vertical="center"/>
    </xf>
    <xf numFmtId="179" fontId="53" fillId="0" borderId="24" xfId="0" applyNumberFormat="1" applyFont="1" applyBorder="1" applyAlignment="1">
      <alignment horizontal="right" vertical="center"/>
    </xf>
    <xf numFmtId="179" fontId="53" fillId="0" borderId="25" xfId="0" applyNumberFormat="1" applyFont="1" applyBorder="1" applyAlignment="1">
      <alignment horizontal="right" vertical="center"/>
    </xf>
    <xf numFmtId="179" fontId="54" fillId="0" borderId="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3" fontId="53" fillId="0" borderId="26" xfId="0" applyNumberFormat="1" applyFont="1" applyBorder="1" applyAlignment="1">
      <alignment horizontal="right" vertical="center"/>
    </xf>
    <xf numFmtId="3" fontId="53" fillId="0" borderId="27" xfId="0" applyNumberFormat="1" applyFont="1" applyBorder="1" applyAlignment="1">
      <alignment horizontal="right" vertical="center"/>
    </xf>
    <xf numFmtId="179" fontId="54" fillId="0" borderId="0" xfId="0" applyNumberFormat="1" applyFont="1" applyBorder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4" fontId="54" fillId="0" borderId="22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 vertical="center"/>
    </xf>
    <xf numFmtId="179" fontId="54" fillId="0" borderId="13" xfId="0" applyNumberFormat="1" applyFont="1" applyBorder="1" applyAlignment="1">
      <alignment horizontal="right" vertical="center"/>
    </xf>
    <xf numFmtId="179" fontId="54" fillId="0" borderId="14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3" fontId="53" fillId="0" borderId="28" xfId="0" applyNumberFormat="1" applyFont="1" applyBorder="1" applyAlignment="1">
      <alignment horizontal="right" vertical="center"/>
    </xf>
    <xf numFmtId="179" fontId="53" fillId="0" borderId="16" xfId="0" applyNumberFormat="1" applyFont="1" applyBorder="1" applyAlignment="1">
      <alignment horizontal="right" vertical="center"/>
    </xf>
    <xf numFmtId="179" fontId="53" fillId="0" borderId="15" xfId="0" applyNumberFormat="1" applyFont="1" applyBorder="1" applyAlignment="1">
      <alignment horizontal="right" vertical="center"/>
    </xf>
    <xf numFmtId="0" fontId="53" fillId="0" borderId="29" xfId="0" applyFont="1" applyBorder="1" applyAlignment="1">
      <alignment horizontal="right" vertical="center"/>
    </xf>
    <xf numFmtId="0" fontId="53" fillId="0" borderId="30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61" fillId="0" borderId="13" xfId="0" applyFont="1" applyBorder="1" applyAlignment="1">
      <alignment horizontal="right"/>
    </xf>
    <xf numFmtId="9" fontId="61" fillId="0" borderId="10" xfId="0" applyNumberFormat="1" applyFont="1" applyBorder="1" applyAlignment="1">
      <alignment horizontal="left"/>
    </xf>
    <xf numFmtId="0" fontId="61" fillId="0" borderId="14" xfId="0" applyFont="1" applyBorder="1" applyAlignment="1">
      <alignment horizontal="center"/>
    </xf>
    <xf numFmtId="9" fontId="61" fillId="0" borderId="22" xfId="0" applyNumberFormat="1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9" fontId="61" fillId="0" borderId="17" xfId="0" applyNumberFormat="1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179" fontId="53" fillId="0" borderId="0" xfId="0" applyNumberFormat="1" applyFont="1" applyBorder="1" applyAlignment="1">
      <alignment vertical="center"/>
    </xf>
    <xf numFmtId="179" fontId="53" fillId="0" borderId="0" xfId="0" applyNumberFormat="1" applyFont="1" applyBorder="1" applyAlignment="1">
      <alignment horizontal="right" vertical="center"/>
    </xf>
    <xf numFmtId="4" fontId="53" fillId="0" borderId="0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58" fillId="0" borderId="0" xfId="0" applyNumberFormat="1" applyFont="1" applyAlignment="1">
      <alignment horizontal="right" vertical="center"/>
    </xf>
    <xf numFmtId="4" fontId="58" fillId="0" borderId="22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 wrapText="1"/>
    </xf>
    <xf numFmtId="0" fontId="64" fillId="0" borderId="3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179" fontId="60" fillId="0" borderId="0" xfId="0" applyNumberFormat="1" applyFont="1" applyBorder="1" applyAlignment="1">
      <alignment vertical="center"/>
    </xf>
    <xf numFmtId="179" fontId="60" fillId="0" borderId="0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4" fontId="55" fillId="0" borderId="25" xfId="0" applyNumberFormat="1" applyFont="1" applyBorder="1" applyAlignment="1">
      <alignment horizontal="right" vertical="center"/>
    </xf>
    <xf numFmtId="4" fontId="58" fillId="0" borderId="21" xfId="0" applyNumberFormat="1" applyFont="1" applyBorder="1" applyAlignment="1">
      <alignment horizontal="right" vertical="center"/>
    </xf>
    <xf numFmtId="4" fontId="58" fillId="0" borderId="24" xfId="0" applyNumberFormat="1" applyFont="1" applyBorder="1" applyAlignment="1">
      <alignment horizontal="right" vertical="center"/>
    </xf>
    <xf numFmtId="4" fontId="58" fillId="0" borderId="25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55" fillId="0" borderId="20" xfId="0" applyFont="1" applyBorder="1" applyAlignment="1">
      <alignment horizontal="right" vertical="center"/>
    </xf>
    <xf numFmtId="10" fontId="58" fillId="0" borderId="15" xfId="0" applyNumberFormat="1" applyFont="1" applyBorder="1" applyAlignment="1">
      <alignment horizontal="right" vertical="center"/>
    </xf>
    <xf numFmtId="4" fontId="55" fillId="0" borderId="16" xfId="0" applyNumberFormat="1" applyFont="1" applyBorder="1" applyAlignment="1">
      <alignment horizontal="right" vertical="center"/>
    </xf>
    <xf numFmtId="4" fontId="58" fillId="0" borderId="16" xfId="0" applyNumberFormat="1" applyFont="1" applyBorder="1" applyAlignment="1">
      <alignment horizontal="right" vertical="center"/>
    </xf>
    <xf numFmtId="4" fontId="58" fillId="0" borderId="14" xfId="0" applyNumberFormat="1" applyFont="1" applyBorder="1" applyAlignment="1">
      <alignment horizontal="right" vertical="center"/>
    </xf>
    <xf numFmtId="10" fontId="58" fillId="0" borderId="14" xfId="0" applyNumberFormat="1" applyFont="1" applyBorder="1" applyAlignment="1">
      <alignment horizontal="right" vertical="center"/>
    </xf>
    <xf numFmtId="4" fontId="58" fillId="0" borderId="15" xfId="0" applyNumberFormat="1" applyFont="1" applyBorder="1" applyAlignment="1">
      <alignment horizontal="right" vertical="center"/>
    </xf>
    <xf numFmtId="4" fontId="58" fillId="0" borderId="17" xfId="0" applyNumberFormat="1" applyFont="1" applyBorder="1" applyAlignment="1">
      <alignment horizontal="right" vertical="center"/>
    </xf>
    <xf numFmtId="4" fontId="55" fillId="0" borderId="15" xfId="0" applyNumberFormat="1" applyFont="1" applyBorder="1" applyAlignment="1">
      <alignment horizontal="right" vertical="center" wrapText="1"/>
    </xf>
    <xf numFmtId="4" fontId="55" fillId="0" borderId="17" xfId="0" applyNumberFormat="1" applyFont="1" applyBorder="1" applyAlignment="1">
      <alignment horizontal="right" vertical="center" wrapText="1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4" fillId="0" borderId="22" xfId="0" applyFont="1" applyBorder="1" applyAlignment="1">
      <alignment vertical="center"/>
    </xf>
    <xf numFmtId="0" fontId="55" fillId="0" borderId="23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4" fontId="58" fillId="0" borderId="23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176" fontId="58" fillId="0" borderId="21" xfId="53" applyNumberFormat="1" applyFont="1" applyBorder="1" applyAlignment="1">
      <alignment horizontal="right" vertical="center"/>
    </xf>
    <xf numFmtId="0" fontId="58" fillId="0" borderId="13" xfId="0" applyFont="1" applyBorder="1" applyAlignment="1">
      <alignment vertical="center"/>
    </xf>
    <xf numFmtId="10" fontId="58" fillId="0" borderId="23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/>
    </xf>
    <xf numFmtId="176" fontId="58" fillId="0" borderId="17" xfId="53" applyNumberFormat="1" applyFont="1" applyBorder="1" applyAlignment="1">
      <alignment horizontal="right" vertical="center"/>
    </xf>
    <xf numFmtId="176" fontId="58" fillId="0" borderId="21" xfId="0" applyNumberFormat="1" applyFont="1" applyBorder="1" applyAlignment="1">
      <alignment horizontal="right" vertical="center"/>
    </xf>
    <xf numFmtId="176" fontId="58" fillId="0" borderId="17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/>
    </xf>
    <xf numFmtId="171" fontId="65" fillId="0" borderId="0" xfId="0" applyNumberFormat="1" applyFont="1" applyBorder="1" applyAlignment="1">
      <alignment/>
    </xf>
    <xf numFmtId="171" fontId="65" fillId="0" borderId="22" xfId="0" applyNumberFormat="1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7" xfId="0" applyFont="1" applyBorder="1" applyAlignment="1">
      <alignment/>
    </xf>
    <xf numFmtId="0" fontId="66" fillId="0" borderId="0" xfId="0" applyFont="1" applyBorder="1" applyAlignment="1">
      <alignment vertical="center"/>
    </xf>
    <xf numFmtId="179" fontId="66" fillId="0" borderId="0" xfId="0" applyNumberFormat="1" applyFont="1" applyBorder="1" applyAlignment="1">
      <alignment vertical="center"/>
    </xf>
    <xf numFmtId="179" fontId="66" fillId="0" borderId="0" xfId="0" applyNumberFormat="1" applyFont="1" applyBorder="1" applyAlignment="1">
      <alignment horizontal="right" vertical="center"/>
    </xf>
    <xf numFmtId="4" fontId="66" fillId="0" borderId="0" xfId="0" applyNumberFormat="1" applyFont="1" applyBorder="1" applyAlignment="1">
      <alignment horizontal="right" vertical="center"/>
    </xf>
    <xf numFmtId="179" fontId="64" fillId="0" borderId="36" xfId="0" applyNumberFormat="1" applyFont="1" applyBorder="1" applyAlignment="1">
      <alignment vertical="center"/>
    </xf>
    <xf numFmtId="179" fontId="64" fillId="0" borderId="36" xfId="0" applyNumberFormat="1" applyFont="1" applyBorder="1" applyAlignment="1">
      <alignment horizontal="right" vertical="center"/>
    </xf>
    <xf numFmtId="179" fontId="64" fillId="0" borderId="37" xfId="0" applyNumberFormat="1" applyFont="1" applyBorder="1" applyAlignment="1">
      <alignment horizontal="right" vertical="center"/>
    </xf>
    <xf numFmtId="179" fontId="64" fillId="0" borderId="0" xfId="0" applyNumberFormat="1" applyFont="1" applyBorder="1" applyAlignment="1">
      <alignment vertical="center"/>
    </xf>
    <xf numFmtId="179" fontId="64" fillId="0" borderId="0" xfId="0" applyNumberFormat="1" applyFont="1" applyBorder="1" applyAlignment="1">
      <alignment horizontal="right" vertical="center"/>
    </xf>
    <xf numFmtId="4" fontId="64" fillId="0" borderId="0" xfId="0" applyNumberFormat="1" applyFont="1" applyBorder="1" applyAlignment="1">
      <alignment horizontal="right" vertical="center"/>
    </xf>
    <xf numFmtId="4" fontId="64" fillId="0" borderId="38" xfId="0" applyNumberFormat="1" applyFont="1" applyBorder="1" applyAlignment="1">
      <alignment horizontal="right" vertical="center"/>
    </xf>
    <xf numFmtId="0" fontId="64" fillId="0" borderId="39" xfId="0" applyFont="1" applyBorder="1" applyAlignment="1">
      <alignment vertical="center"/>
    </xf>
    <xf numFmtId="179" fontId="64" fillId="0" borderId="40" xfId="0" applyNumberFormat="1" applyFont="1" applyBorder="1" applyAlignment="1">
      <alignment vertical="center"/>
    </xf>
    <xf numFmtId="179" fontId="64" fillId="0" borderId="40" xfId="0" applyNumberFormat="1" applyFont="1" applyBorder="1" applyAlignment="1">
      <alignment horizontal="right" vertical="center"/>
    </xf>
    <xf numFmtId="179" fontId="64" fillId="0" borderId="41" xfId="0" applyNumberFormat="1" applyFont="1" applyBorder="1" applyAlignment="1">
      <alignment horizontal="right" vertical="center"/>
    </xf>
    <xf numFmtId="179" fontId="64" fillId="0" borderId="38" xfId="0" applyNumberFormat="1" applyFont="1" applyBorder="1" applyAlignment="1">
      <alignment horizontal="right" vertical="center"/>
    </xf>
    <xf numFmtId="179" fontId="64" fillId="0" borderId="23" xfId="0" applyNumberFormat="1" applyFont="1" applyBorder="1" applyAlignment="1">
      <alignment vertical="center"/>
    </xf>
    <xf numFmtId="179" fontId="64" fillId="0" borderId="23" xfId="0" applyNumberFormat="1" applyFont="1" applyBorder="1" applyAlignment="1">
      <alignment horizontal="right" vertical="center"/>
    </xf>
    <xf numFmtId="179" fontId="64" fillId="0" borderId="10" xfId="0" applyNumberFormat="1" applyFont="1" applyBorder="1" applyAlignment="1">
      <alignment horizontal="right" vertical="center"/>
    </xf>
    <xf numFmtId="4" fontId="64" fillId="0" borderId="22" xfId="0" applyNumberFormat="1" applyFont="1" applyBorder="1" applyAlignment="1">
      <alignment horizontal="right" vertical="center"/>
    </xf>
    <xf numFmtId="0" fontId="64" fillId="0" borderId="42" xfId="0" applyFont="1" applyBorder="1" applyAlignment="1">
      <alignment vertical="center"/>
    </xf>
    <xf numFmtId="179" fontId="64" fillId="0" borderId="43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0" fillId="0" borderId="19" xfId="0" applyFont="1" applyBorder="1" applyAlignment="1">
      <alignment vertical="center"/>
    </xf>
    <xf numFmtId="0" fontId="54" fillId="0" borderId="44" xfId="0" applyFont="1" applyBorder="1" applyAlignment="1">
      <alignment horizontal="right" vertical="center"/>
    </xf>
    <xf numFmtId="0" fontId="60" fillId="0" borderId="44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10" fontId="60" fillId="0" borderId="19" xfId="0" applyNumberFormat="1" applyFont="1" applyBorder="1" applyAlignment="1">
      <alignment horizontal="right" vertical="center"/>
    </xf>
    <xf numFmtId="10" fontId="54" fillId="0" borderId="19" xfId="0" applyNumberFormat="1" applyFont="1" applyBorder="1" applyAlignment="1">
      <alignment horizontal="right" vertical="center"/>
    </xf>
    <xf numFmtId="0" fontId="54" fillId="0" borderId="45" xfId="0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4" fontId="54" fillId="0" borderId="19" xfId="0" applyNumberFormat="1" applyFont="1" applyBorder="1" applyAlignment="1">
      <alignment horizontal="right" vertical="center"/>
    </xf>
    <xf numFmtId="4" fontId="68" fillId="0" borderId="0" xfId="0" applyNumberFormat="1" applyFont="1" applyAlignment="1">
      <alignment/>
    </xf>
    <xf numFmtId="3" fontId="54" fillId="0" borderId="19" xfId="0" applyNumberFormat="1" applyFont="1" applyBorder="1" applyAlignment="1">
      <alignment horizontal="right" vertical="center"/>
    </xf>
    <xf numFmtId="180" fontId="54" fillId="0" borderId="19" xfId="0" applyNumberFormat="1" applyFont="1" applyBorder="1" applyAlignment="1">
      <alignment horizontal="right" vertical="center"/>
    </xf>
    <xf numFmtId="0" fontId="53" fillId="0" borderId="19" xfId="0" applyFont="1" applyBorder="1" applyAlignment="1">
      <alignment vertical="center"/>
    </xf>
    <xf numFmtId="10" fontId="53" fillId="0" borderId="19" xfId="53" applyNumberFormat="1" applyFont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58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171" fontId="70" fillId="0" borderId="0" xfId="0" applyNumberFormat="1" applyFont="1" applyAlignment="1">
      <alignment/>
    </xf>
    <xf numFmtId="0" fontId="54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tabSelected="1" zoomScalePageLayoutView="0" workbookViewId="0" topLeftCell="A1">
      <pane ySplit="4800" topLeftCell="A39" activePane="topLeft" state="split"/>
      <selection pane="topLeft" activeCell="L5" sqref="L5"/>
      <selection pane="bottomLeft" activeCell="K56" sqref="K56"/>
    </sheetView>
  </sheetViews>
  <sheetFormatPr defaultColWidth="11.421875" defaultRowHeight="15"/>
  <cols>
    <col min="1" max="1" width="2.8515625" style="0" customWidth="1"/>
    <col min="2" max="2" width="9.140625" style="0" customWidth="1"/>
    <col min="3" max="3" width="40.00390625" style="0" customWidth="1"/>
    <col min="4" max="11" width="8.140625" style="0" customWidth="1"/>
    <col min="12" max="16384" width="9.140625" style="0" customWidth="1"/>
  </cols>
  <sheetData>
    <row r="2" ht="15">
      <c r="C2" s="1" t="s">
        <v>0</v>
      </c>
    </row>
    <row r="3" spans="3:12" ht="15.75" thickBot="1">
      <c r="C3" s="2" t="s">
        <v>1</v>
      </c>
      <c r="L3" t="s">
        <v>92</v>
      </c>
    </row>
    <row r="4" spans="2:10" ht="15.75" thickBot="1">
      <c r="B4" s="3"/>
      <c r="C4" s="4"/>
      <c r="D4" s="158">
        <v>2002</v>
      </c>
      <c r="E4" s="159">
        <v>2003</v>
      </c>
      <c r="F4" s="159">
        <v>2004</v>
      </c>
      <c r="G4" s="159">
        <v>2005</v>
      </c>
      <c r="H4" s="159">
        <v>2006</v>
      </c>
      <c r="I4" s="159">
        <v>2007</v>
      </c>
      <c r="J4" s="159">
        <v>2008</v>
      </c>
    </row>
    <row r="5" spans="2:10" ht="15">
      <c r="B5" s="6">
        <v>1</v>
      </c>
      <c r="C5" s="155" t="s">
        <v>2</v>
      </c>
      <c r="D5" s="156"/>
      <c r="E5" s="157">
        <v>-290</v>
      </c>
      <c r="F5" s="157">
        <v>-102</v>
      </c>
      <c r="G5" s="157">
        <v>250</v>
      </c>
      <c r="H5" s="157">
        <v>354</v>
      </c>
      <c r="I5" s="157">
        <v>459</v>
      </c>
      <c r="J5" s="157">
        <v>496</v>
      </c>
    </row>
    <row r="6" spans="2:10" ht="15">
      <c r="B6" s="6">
        <v>2</v>
      </c>
      <c r="C6" s="155" t="s">
        <v>3</v>
      </c>
      <c r="D6" s="27"/>
      <c r="E6" s="29">
        <v>0</v>
      </c>
      <c r="F6" s="29">
        <v>0</v>
      </c>
      <c r="G6" s="29">
        <v>0</v>
      </c>
      <c r="H6" s="29">
        <v>0</v>
      </c>
      <c r="I6" s="29">
        <v>34</v>
      </c>
      <c r="J6" s="29">
        <v>35</v>
      </c>
    </row>
    <row r="7" spans="2:10" ht="15">
      <c r="B7" s="6">
        <v>3</v>
      </c>
      <c r="C7" s="155" t="s">
        <v>4</v>
      </c>
      <c r="D7" s="27"/>
      <c r="E7" s="29">
        <v>107</v>
      </c>
      <c r="F7" s="29">
        <v>142</v>
      </c>
      <c r="G7" s="29">
        <v>164</v>
      </c>
      <c r="H7" s="29">
        <v>157</v>
      </c>
      <c r="I7" s="29">
        <v>139</v>
      </c>
      <c r="J7" s="29">
        <v>112</v>
      </c>
    </row>
    <row r="8" spans="2:10" ht="15">
      <c r="B8" s="6">
        <v>4</v>
      </c>
      <c r="C8" s="155" t="s">
        <v>5</v>
      </c>
      <c r="D8" s="27"/>
      <c r="E8" s="160">
        <v>0</v>
      </c>
      <c r="F8" s="160">
        <v>0</v>
      </c>
      <c r="G8" s="160">
        <v>0</v>
      </c>
      <c r="H8" s="160">
        <v>0</v>
      </c>
      <c r="I8" s="160">
        <v>0.12</v>
      </c>
      <c r="J8" s="160">
        <v>0.35</v>
      </c>
    </row>
    <row r="9" spans="2:10" ht="15">
      <c r="B9" s="6">
        <v>5</v>
      </c>
      <c r="C9" s="155" t="s">
        <v>6</v>
      </c>
      <c r="D9" s="27"/>
      <c r="E9" s="160">
        <v>0.133</v>
      </c>
      <c r="F9" s="160">
        <v>0.133</v>
      </c>
      <c r="G9" s="160">
        <v>0.133</v>
      </c>
      <c r="H9" s="160">
        <v>0.133</v>
      </c>
      <c r="I9" s="160">
        <v>0.133</v>
      </c>
      <c r="J9" s="160">
        <v>0.133</v>
      </c>
    </row>
    <row r="10" spans="2:10" ht="15">
      <c r="B10" s="6">
        <v>6</v>
      </c>
      <c r="C10" s="155" t="s">
        <v>7</v>
      </c>
      <c r="D10" s="27"/>
      <c r="E10" s="160">
        <v>0.09</v>
      </c>
      <c r="F10" s="160">
        <v>0.09</v>
      </c>
      <c r="G10" s="160">
        <v>0.09</v>
      </c>
      <c r="H10" s="160">
        <v>0.09</v>
      </c>
      <c r="I10" s="160">
        <v>0.09</v>
      </c>
      <c r="J10" s="160">
        <v>0.09</v>
      </c>
    </row>
    <row r="11" spans="2:10" ht="15">
      <c r="B11" s="6">
        <v>7</v>
      </c>
      <c r="C11" s="155" t="s">
        <v>8</v>
      </c>
      <c r="D11" s="27"/>
      <c r="E11" s="160">
        <v>0.1</v>
      </c>
      <c r="F11" s="160">
        <v>0.1</v>
      </c>
      <c r="G11" s="160">
        <v>0.1</v>
      </c>
      <c r="H11" s="160">
        <v>0.1</v>
      </c>
      <c r="I11" s="160">
        <v>0.1</v>
      </c>
      <c r="J11" s="160">
        <v>0.1</v>
      </c>
    </row>
    <row r="12" spans="2:10" ht="15">
      <c r="B12" s="6">
        <v>8</v>
      </c>
      <c r="C12" s="26" t="s">
        <v>9</v>
      </c>
      <c r="D12" s="29">
        <v>3033</v>
      </c>
      <c r="E12" s="27">
        <v>3436</v>
      </c>
      <c r="F12" s="27">
        <v>3893</v>
      </c>
      <c r="G12" s="27">
        <v>4410</v>
      </c>
      <c r="H12" s="27">
        <v>4997</v>
      </c>
      <c r="I12" s="27">
        <v>5627</v>
      </c>
      <c r="J12" s="27">
        <v>6341</v>
      </c>
    </row>
    <row r="13" spans="2:10" ht="15">
      <c r="B13" s="6">
        <v>9</v>
      </c>
      <c r="C13" s="26" t="s">
        <v>10</v>
      </c>
      <c r="D13" s="29"/>
      <c r="E13" s="27">
        <v>397</v>
      </c>
      <c r="F13" s="27">
        <v>244</v>
      </c>
      <c r="G13" s="27">
        <v>-86</v>
      </c>
      <c r="H13" s="27">
        <v>-197</v>
      </c>
      <c r="I13" s="27">
        <v>-303</v>
      </c>
      <c r="J13" s="27">
        <v>-389</v>
      </c>
    </row>
    <row r="14" spans="2:10" ht="15">
      <c r="B14" s="6">
        <v>10</v>
      </c>
      <c r="C14" s="26" t="s">
        <v>11</v>
      </c>
      <c r="D14" s="29">
        <v>1184</v>
      </c>
      <c r="E14" s="27">
        <v>1581</v>
      </c>
      <c r="F14" s="27">
        <v>1825</v>
      </c>
      <c r="G14" s="27">
        <v>1739</v>
      </c>
      <c r="H14" s="27">
        <v>1542</v>
      </c>
      <c r="I14" s="27">
        <v>1239</v>
      </c>
      <c r="J14" s="27">
        <v>850</v>
      </c>
    </row>
    <row r="15" spans="2:10" ht="15">
      <c r="B15" s="6">
        <v>11</v>
      </c>
      <c r="C15" s="26" t="s">
        <v>12</v>
      </c>
      <c r="D15" s="161">
        <f>D14/(D14+D12)</f>
        <v>0.2807683187099834</v>
      </c>
      <c r="E15" s="161">
        <f aca="true" t="shared" si="0" ref="E15:J15">E14/(E14+E12)</f>
        <v>0.31512856288618696</v>
      </c>
      <c r="F15" s="161">
        <f t="shared" si="0"/>
        <v>0.3191675410982861</v>
      </c>
      <c r="G15" s="161">
        <f t="shared" si="0"/>
        <v>0.2828102130427712</v>
      </c>
      <c r="H15" s="161">
        <f t="shared" si="0"/>
        <v>0.23581587398684814</v>
      </c>
      <c r="I15" s="161">
        <f t="shared" si="0"/>
        <v>0.18045441304981066</v>
      </c>
      <c r="J15" s="161">
        <f t="shared" si="0"/>
        <v>0.1182033096926714</v>
      </c>
    </row>
    <row r="16" spans="2:10" ht="15">
      <c r="B16" s="6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6">
        <v>12</v>
      </c>
      <c r="C17" s="26" t="s">
        <v>13</v>
      </c>
      <c r="D17" s="27"/>
      <c r="E17" s="161">
        <f aca="true" t="shared" si="1" ref="E17:J17">D15*E10*(1-E8)+(1-D15)*E9</f>
        <v>0.1209269622954707</v>
      </c>
      <c r="F17" s="161">
        <f t="shared" si="1"/>
        <v>0.11944947179589396</v>
      </c>
      <c r="G17" s="161">
        <f t="shared" si="1"/>
        <v>0.11927579573277369</v>
      </c>
      <c r="H17" s="161">
        <f t="shared" si="1"/>
        <v>0.12083916083916084</v>
      </c>
      <c r="I17" s="161">
        <f t="shared" si="1"/>
        <v>0.12031310597950758</v>
      </c>
      <c r="J17" s="161">
        <f t="shared" si="1"/>
        <v>0.11955614622778911</v>
      </c>
    </row>
    <row r="19" ht="15">
      <c r="C19" s="12" t="s">
        <v>14</v>
      </c>
    </row>
    <row r="20" spans="3:4" ht="15">
      <c r="C20" s="177" t="s">
        <v>15</v>
      </c>
      <c r="D20" s="177"/>
    </row>
    <row r="21" spans="3:4" ht="15">
      <c r="C21" s="26" t="s">
        <v>16</v>
      </c>
      <c r="D21" s="167">
        <f>NPV(E11,E5:J5)</f>
        <v>646.6635357179342</v>
      </c>
    </row>
    <row r="22" spans="3:4" ht="15">
      <c r="C22" s="26" t="s">
        <v>17</v>
      </c>
      <c r="D22" s="167">
        <f>J5*1.02/(E11-0.02)/1.1^6</f>
        <v>3569.733133660087</v>
      </c>
    </row>
    <row r="23" spans="3:4" ht="15">
      <c r="C23" s="26" t="s">
        <v>18</v>
      </c>
      <c r="D23" s="167">
        <f>SUM(D21:D22)</f>
        <v>4216.396669378021</v>
      </c>
    </row>
    <row r="24" spans="3:4" ht="15">
      <c r="C24" s="26" t="s">
        <v>19</v>
      </c>
      <c r="D24" s="167">
        <f>-D14</f>
        <v>-1184</v>
      </c>
    </row>
    <row r="25" spans="3:4" ht="15">
      <c r="C25" s="26" t="s">
        <v>20</v>
      </c>
      <c r="D25" s="167">
        <f>D23+D24</f>
        <v>3032.396669378021</v>
      </c>
    </row>
    <row r="27" spans="3:12" ht="15">
      <c r="C27" s="13" t="s">
        <v>21</v>
      </c>
      <c r="L27" s="163" t="s">
        <v>86</v>
      </c>
    </row>
    <row r="28" spans="2:12" ht="15">
      <c r="B28" s="3"/>
      <c r="C28" s="4"/>
      <c r="D28" s="28">
        <v>2002</v>
      </c>
      <c r="E28" s="28">
        <v>2003</v>
      </c>
      <c r="F28" s="28">
        <v>2004</v>
      </c>
      <c r="G28" s="28">
        <v>2005</v>
      </c>
      <c r="H28" s="28">
        <v>2006</v>
      </c>
      <c r="I28" s="28">
        <v>2007</v>
      </c>
      <c r="J28" s="28">
        <v>2008</v>
      </c>
      <c r="K28" s="28">
        <v>2009</v>
      </c>
      <c r="L28" s="164" t="s">
        <v>85</v>
      </c>
    </row>
    <row r="29" spans="2:12" ht="15">
      <c r="B29" s="6">
        <v>1</v>
      </c>
      <c r="C29" s="26" t="s">
        <v>2</v>
      </c>
      <c r="D29" s="27"/>
      <c r="E29" s="27">
        <f aca="true" t="shared" si="2" ref="E29:J29">E5</f>
        <v>-290</v>
      </c>
      <c r="F29" s="27">
        <f t="shared" si="2"/>
        <v>-102</v>
      </c>
      <c r="G29" s="27">
        <f t="shared" si="2"/>
        <v>250</v>
      </c>
      <c r="H29" s="27">
        <f t="shared" si="2"/>
        <v>354</v>
      </c>
      <c r="I29" s="27">
        <f t="shared" si="2"/>
        <v>459</v>
      </c>
      <c r="J29" s="27">
        <f t="shared" si="2"/>
        <v>496</v>
      </c>
      <c r="K29" s="27">
        <f>J29*1.02</f>
        <v>505.92</v>
      </c>
      <c r="L29" s="162"/>
    </row>
    <row r="30" spans="2:12" ht="15">
      <c r="B30" s="6">
        <v>2</v>
      </c>
      <c r="C30" s="26" t="s">
        <v>3</v>
      </c>
      <c r="D30" s="27"/>
      <c r="E30" s="167">
        <v>0</v>
      </c>
      <c r="F30" s="167">
        <v>0</v>
      </c>
      <c r="G30" s="167">
        <v>0</v>
      </c>
      <c r="H30" s="167">
        <v>0</v>
      </c>
      <c r="I30" s="165">
        <v>34</v>
      </c>
      <c r="J30" s="165">
        <v>35</v>
      </c>
      <c r="K30" s="165">
        <f>K29-K31*(1-K32)+0.02*J14</f>
        <v>473.195</v>
      </c>
      <c r="L30" s="166">
        <f>K30*1.02+K30*1.02*1.02/(K33-0.02)</f>
        <v>4839.402953097346</v>
      </c>
    </row>
    <row r="31" spans="2:11" ht="15">
      <c r="B31" s="6">
        <v>3</v>
      </c>
      <c r="C31" s="26" t="s">
        <v>4</v>
      </c>
      <c r="D31" s="28"/>
      <c r="E31" s="27">
        <f aca="true" t="shared" si="3" ref="E31:J31">D14*E10</f>
        <v>106.56</v>
      </c>
      <c r="F31" s="27">
        <f t="shared" si="3"/>
        <v>142.29</v>
      </c>
      <c r="G31" s="27">
        <f t="shared" si="3"/>
        <v>164.25</v>
      </c>
      <c r="H31" s="27">
        <f t="shared" si="3"/>
        <v>156.51</v>
      </c>
      <c r="I31" s="27">
        <f t="shared" si="3"/>
        <v>138.78</v>
      </c>
      <c r="J31" s="27">
        <f t="shared" si="3"/>
        <v>111.50999999999999</v>
      </c>
      <c r="K31" s="27">
        <f>J14*9%</f>
        <v>76.5</v>
      </c>
    </row>
    <row r="32" spans="2:11" ht="15">
      <c r="B32" s="6">
        <v>4</v>
      </c>
      <c r="C32" s="26" t="s">
        <v>5</v>
      </c>
      <c r="D32" s="28"/>
      <c r="E32" s="161">
        <f aca="true" t="shared" si="4" ref="E32:J32">E8</f>
        <v>0</v>
      </c>
      <c r="F32" s="161">
        <f t="shared" si="4"/>
        <v>0</v>
      </c>
      <c r="G32" s="161">
        <f t="shared" si="4"/>
        <v>0</v>
      </c>
      <c r="H32" s="161">
        <f t="shared" si="4"/>
        <v>0</v>
      </c>
      <c r="I32" s="161">
        <f t="shared" si="4"/>
        <v>0.12</v>
      </c>
      <c r="J32" s="161">
        <f t="shared" si="4"/>
        <v>0.35</v>
      </c>
      <c r="K32" s="161">
        <v>0.35</v>
      </c>
    </row>
    <row r="33" spans="2:11" ht="15">
      <c r="B33" s="6">
        <v>5</v>
      </c>
      <c r="C33" s="26" t="s">
        <v>6</v>
      </c>
      <c r="D33" s="27"/>
      <c r="E33" s="161">
        <v>0.133</v>
      </c>
      <c r="F33" s="161">
        <v>0.133</v>
      </c>
      <c r="G33" s="161">
        <v>0.133</v>
      </c>
      <c r="H33" s="161">
        <v>0.133</v>
      </c>
      <c r="I33" s="161">
        <v>0.133</v>
      </c>
      <c r="J33" s="161">
        <v>0.133</v>
      </c>
      <c r="K33" s="161">
        <v>0.133</v>
      </c>
    </row>
    <row r="34" spans="2:11" ht="15">
      <c r="B34" s="6">
        <v>6</v>
      </c>
      <c r="C34" s="26" t="s">
        <v>7</v>
      </c>
      <c r="D34" s="27"/>
      <c r="E34" s="161">
        <v>0.09</v>
      </c>
      <c r="F34" s="161">
        <v>0.09</v>
      </c>
      <c r="G34" s="161">
        <v>0.09</v>
      </c>
      <c r="H34" s="161">
        <v>0.09</v>
      </c>
      <c r="I34" s="161">
        <v>0.09</v>
      </c>
      <c r="J34" s="161">
        <v>0.09</v>
      </c>
      <c r="K34" s="161">
        <v>0.09</v>
      </c>
    </row>
    <row r="35" spans="2:11" ht="15">
      <c r="B35" s="6">
        <v>8</v>
      </c>
      <c r="C35" s="26" t="s">
        <v>9</v>
      </c>
      <c r="D35" s="168">
        <f>NPV(E33,E30:$L30)</f>
        <v>2014.378521327221</v>
      </c>
      <c r="E35" s="168">
        <f>NPV(F33,F30:$L30)</f>
        <v>2282.2908646637416</v>
      </c>
      <c r="F35" s="168">
        <f>NPV(G33,G30:$L30)</f>
        <v>2585.8355496640193</v>
      </c>
      <c r="G35" s="168">
        <f>NPV(H33,H30:$L30)</f>
        <v>2929.751677769334</v>
      </c>
      <c r="H35" s="168">
        <f>NPV(I33,I30:$L30)</f>
        <v>3319.408650912655</v>
      </c>
      <c r="I35" s="168">
        <f>NPV(J33,J30:$L30)</f>
        <v>3726.8900014840387</v>
      </c>
      <c r="J35" s="168">
        <f>NPV(K33,K30:$L30)</f>
        <v>4187.566371681416</v>
      </c>
      <c r="K35" s="168">
        <f>NPV(J33,L30:$L30)</f>
        <v>4271.317699115045</v>
      </c>
    </row>
    <row r="36" spans="2:11" ht="15">
      <c r="B36" s="6">
        <v>9</v>
      </c>
      <c r="C36" s="26" t="s">
        <v>10</v>
      </c>
      <c r="D36" s="27"/>
      <c r="E36" s="27">
        <v>397</v>
      </c>
      <c r="F36" s="27">
        <v>244</v>
      </c>
      <c r="G36" s="27">
        <v>-86</v>
      </c>
      <c r="H36" s="27">
        <v>-197</v>
      </c>
      <c r="I36" s="27">
        <v>-303</v>
      </c>
      <c r="J36" s="27">
        <v>-389</v>
      </c>
      <c r="K36" s="27">
        <v>17</v>
      </c>
    </row>
    <row r="37" spans="2:11" ht="15">
      <c r="B37" s="6">
        <v>10</v>
      </c>
      <c r="C37" s="26" t="s">
        <v>11</v>
      </c>
      <c r="D37" s="27">
        <v>1184</v>
      </c>
      <c r="E37" s="27">
        <v>1581</v>
      </c>
      <c r="F37" s="27">
        <v>1825</v>
      </c>
      <c r="G37" s="27">
        <v>1739</v>
      </c>
      <c r="H37" s="27">
        <v>1542</v>
      </c>
      <c r="I37" s="27">
        <v>1239</v>
      </c>
      <c r="J37" s="27">
        <v>850</v>
      </c>
      <c r="K37" s="27">
        <v>867</v>
      </c>
    </row>
    <row r="38" spans="2:11" ht="15">
      <c r="B38" s="6">
        <v>11</v>
      </c>
      <c r="C38" s="26" t="s">
        <v>12</v>
      </c>
      <c r="D38" s="161">
        <f>D37/(D35+D37)</f>
        <v>0.37018757851984296</v>
      </c>
      <c r="E38" s="161">
        <f aca="true" t="shared" si="5" ref="E38:K38">E37/(E35+E37)</f>
        <v>0.4092365952718937</v>
      </c>
      <c r="F38" s="161">
        <f t="shared" si="5"/>
        <v>0.41375380683576224</v>
      </c>
      <c r="G38" s="161">
        <f t="shared" si="5"/>
        <v>0.37247643910478234</v>
      </c>
      <c r="H38" s="161">
        <f t="shared" si="5"/>
        <v>0.31719201382309486</v>
      </c>
      <c r="I38" s="161">
        <f t="shared" si="5"/>
        <v>0.2495021032744844</v>
      </c>
      <c r="J38" s="161">
        <f t="shared" si="5"/>
        <v>0.16873226817978199</v>
      </c>
      <c r="K38" s="161">
        <f t="shared" si="5"/>
        <v>0.16873226817978196</v>
      </c>
    </row>
    <row r="39" spans="2:11" s="67" customFormat="1" ht="15">
      <c r="B39" s="11">
        <v>12</v>
      </c>
      <c r="C39" s="169" t="s">
        <v>22</v>
      </c>
      <c r="D39" s="28"/>
      <c r="E39" s="170">
        <f>D38*E34*(1-E32)+(1-D38)*E33</f>
        <v>0.11708193412364676</v>
      </c>
      <c r="F39" s="170">
        <f aca="true" t="shared" si="6" ref="F39:K39">E38*F34*(1-F32)+(1-E38)*F33</f>
        <v>0.11540282640330857</v>
      </c>
      <c r="G39" s="170">
        <f t="shared" si="6"/>
        <v>0.11520858630606223</v>
      </c>
      <c r="H39" s="170">
        <f t="shared" si="6"/>
        <v>0.11698351311849436</v>
      </c>
      <c r="I39" s="170">
        <f t="shared" si="6"/>
        <v>0.11593506965631752</v>
      </c>
      <c r="J39" s="170">
        <f t="shared" si="6"/>
        <v>0.11441209330605091</v>
      </c>
      <c r="K39" s="170">
        <f t="shared" si="6"/>
        <v>0.12042944602060625</v>
      </c>
    </row>
    <row r="42" ht="15.75" thickBot="1">
      <c r="C42" s="12" t="s">
        <v>23</v>
      </c>
    </row>
    <row r="43" spans="3:4" ht="15.75" thickBot="1">
      <c r="C43" s="30" t="s">
        <v>24</v>
      </c>
      <c r="D43" s="7"/>
    </row>
    <row r="44" spans="3:4" ht="15.75" thickBot="1">
      <c r="C44" s="8" t="s">
        <v>88</v>
      </c>
      <c r="D44" s="171">
        <f>SUM(E54:K54)</f>
        <v>822.4316628150635</v>
      </c>
    </row>
    <row r="45" spans="3:4" ht="15.75" thickBot="1">
      <c r="C45" s="8" t="s">
        <v>17</v>
      </c>
      <c r="D45" s="171">
        <f>K55</f>
        <v>2375.921350622832</v>
      </c>
    </row>
    <row r="46" spans="3:4" ht="15.75" thickBot="1">
      <c r="C46" s="8" t="s">
        <v>18</v>
      </c>
      <c r="D46" s="171">
        <f>SUM(D44:D45)</f>
        <v>3198.3530134378957</v>
      </c>
    </row>
    <row r="47" spans="3:4" ht="15.75" thickBot="1">
      <c r="C47" s="8" t="s">
        <v>19</v>
      </c>
      <c r="D47" s="172">
        <f>D24</f>
        <v>-1184</v>
      </c>
    </row>
    <row r="48" spans="3:4" ht="15.75" thickBot="1">
      <c r="C48" s="14" t="s">
        <v>20</v>
      </c>
      <c r="D48" s="173">
        <f>D46+D47</f>
        <v>2014.3530134378957</v>
      </c>
    </row>
    <row r="50" spans="5:11" ht="15">
      <c r="E50" s="28">
        <v>2003</v>
      </c>
      <c r="F50" s="28">
        <v>2004</v>
      </c>
      <c r="G50" s="28">
        <v>2005</v>
      </c>
      <c r="H50" s="28">
        <v>2006</v>
      </c>
      <c r="I50" s="28">
        <v>2007</v>
      </c>
      <c r="J50" s="28">
        <v>2008</v>
      </c>
      <c r="K50" s="28">
        <v>2009</v>
      </c>
    </row>
    <row r="51" spans="4:11" ht="15">
      <c r="D51" s="174" t="s">
        <v>2</v>
      </c>
      <c r="E51" s="174">
        <f>E29</f>
        <v>-290</v>
      </c>
      <c r="F51" s="174">
        <f aca="true" t="shared" si="7" ref="F51:K51">F29</f>
        <v>-102</v>
      </c>
      <c r="G51" s="174">
        <f t="shared" si="7"/>
        <v>250</v>
      </c>
      <c r="H51" s="174">
        <f t="shared" si="7"/>
        <v>354</v>
      </c>
      <c r="I51" s="174">
        <f t="shared" si="7"/>
        <v>459</v>
      </c>
      <c r="J51" s="174">
        <f t="shared" si="7"/>
        <v>496</v>
      </c>
      <c r="K51" s="174">
        <f t="shared" si="7"/>
        <v>505.92</v>
      </c>
    </row>
    <row r="52" spans="4:11" ht="15">
      <c r="D52" s="174" t="s">
        <v>87</v>
      </c>
      <c r="E52" s="174"/>
      <c r="F52" s="174"/>
      <c r="G52" s="174"/>
      <c r="H52" s="174"/>
      <c r="I52" s="174"/>
      <c r="J52" s="174"/>
      <c r="K52" s="174">
        <f>K51*1.02/(K39-0.02)</f>
        <v>5138.317699115044</v>
      </c>
    </row>
    <row r="53" spans="4:11" ht="15">
      <c r="D53" s="175" t="s">
        <v>89</v>
      </c>
      <c r="E53" s="176">
        <f>(1+E39)</f>
        <v>1.1170819341236466</v>
      </c>
      <c r="F53" s="176">
        <f aca="true" t="shared" si="8" ref="F53:K53">(1+F39)*E53</f>
        <v>1.24599634664559</v>
      </c>
      <c r="G53" s="176">
        <f t="shared" si="8"/>
        <v>1.3895458242851466</v>
      </c>
      <c r="H53" s="176">
        <f t="shared" si="8"/>
        <v>1.5520997764491573</v>
      </c>
      <c r="I53" s="176">
        <f t="shared" si="8"/>
        <v>1.7320425721453452</v>
      </c>
      <c r="J53" s="176">
        <f t="shared" si="8"/>
        <v>1.9302091885196908</v>
      </c>
      <c r="K53" s="176">
        <f t="shared" si="8"/>
        <v>2.1626632117970015</v>
      </c>
    </row>
    <row r="54" spans="4:11" ht="15">
      <c r="D54" s="174" t="s">
        <v>90</v>
      </c>
      <c r="E54" s="174">
        <f aca="true" t="shared" si="9" ref="E54:K54">E51/E53</f>
        <v>-259.6049503096706</v>
      </c>
      <c r="F54" s="174">
        <f t="shared" si="9"/>
        <v>-81.86219829183239</v>
      </c>
      <c r="G54" s="174">
        <f t="shared" si="9"/>
        <v>179.9149014237172</v>
      </c>
      <c r="H54" s="174">
        <f t="shared" si="9"/>
        <v>228.07812060244575</v>
      </c>
      <c r="I54" s="174">
        <f t="shared" si="9"/>
        <v>265.0050335838297</v>
      </c>
      <c r="J54" s="174">
        <f t="shared" si="9"/>
        <v>256.9669665599253</v>
      </c>
      <c r="K54" s="174">
        <f t="shared" si="9"/>
        <v>233.93378924664864</v>
      </c>
    </row>
    <row r="55" spans="4:11" ht="15">
      <c r="D55" s="175" t="s">
        <v>91</v>
      </c>
      <c r="E55" s="174"/>
      <c r="F55" s="174"/>
      <c r="G55" s="174"/>
      <c r="H55" s="174"/>
      <c r="I55" s="174"/>
      <c r="J55" s="174"/>
      <c r="K55" s="174">
        <f>K52/K53</f>
        <v>2375.921350622832</v>
      </c>
    </row>
  </sheetData>
  <sheetProtection/>
  <mergeCells count="1">
    <mergeCell ref="C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pane ySplit="3720" topLeftCell="A70" activePane="bottomLeft" state="split"/>
      <selection pane="topLeft" activeCell="A59" sqref="A59"/>
      <selection pane="bottomLeft" activeCell="K73" sqref="K73"/>
    </sheetView>
  </sheetViews>
  <sheetFormatPr defaultColWidth="11.421875" defaultRowHeight="15"/>
  <cols>
    <col min="1" max="1" width="9.140625" style="0" customWidth="1"/>
    <col min="2" max="2" width="29.421875" style="0" customWidth="1"/>
    <col min="3" max="8" width="9.140625" style="0" customWidth="1"/>
    <col min="9" max="9" width="4.57421875" style="0" customWidth="1"/>
    <col min="10" max="16384" width="9.140625" style="0" customWidth="1"/>
  </cols>
  <sheetData>
    <row r="2" ht="15.75" thickBot="1">
      <c r="B2" s="24" t="s">
        <v>25</v>
      </c>
    </row>
    <row r="3" spans="2:11" ht="16.5" thickBot="1" thickTop="1">
      <c r="B3" s="9"/>
      <c r="C3" s="64">
        <v>0</v>
      </c>
      <c r="D3" s="65">
        <v>1</v>
      </c>
      <c r="E3" s="65">
        <v>2</v>
      </c>
      <c r="F3" s="65">
        <v>3</v>
      </c>
      <c r="G3" s="66">
        <v>4</v>
      </c>
      <c r="H3" s="5">
        <v>5</v>
      </c>
      <c r="J3" s="68" t="s">
        <v>62</v>
      </c>
      <c r="K3" s="69">
        <v>0.02</v>
      </c>
    </row>
    <row r="4" spans="2:11" ht="15">
      <c r="B4" s="15" t="s">
        <v>26</v>
      </c>
      <c r="C4" s="39">
        <v>400</v>
      </c>
      <c r="D4" s="39">
        <v>430</v>
      </c>
      <c r="E4" s="39">
        <v>515</v>
      </c>
      <c r="F4" s="39">
        <v>550</v>
      </c>
      <c r="G4" s="58">
        <f>F4*(1+$K$3)</f>
        <v>561</v>
      </c>
      <c r="H4" s="57">
        <f>G4*(1+$K$3)</f>
        <v>572.22</v>
      </c>
      <c r="J4" s="70" t="s">
        <v>7</v>
      </c>
      <c r="K4" s="71">
        <v>0.08</v>
      </c>
    </row>
    <row r="5" spans="2:11" ht="15">
      <c r="B5" s="16" t="s">
        <v>27</v>
      </c>
      <c r="C5" s="53">
        <v>1600</v>
      </c>
      <c r="D5" s="53">
        <v>1800</v>
      </c>
      <c r="E5" s="53">
        <v>2300</v>
      </c>
      <c r="F5" s="53">
        <v>2600</v>
      </c>
      <c r="G5" s="59">
        <f>G7+G6</f>
        <v>2913</v>
      </c>
      <c r="H5" s="55">
        <f>H7+H6</f>
        <v>3232.26</v>
      </c>
      <c r="J5" s="70" t="s">
        <v>63</v>
      </c>
      <c r="K5" s="71">
        <v>0.06</v>
      </c>
    </row>
    <row r="6" spans="2:11" ht="15">
      <c r="B6" s="16" t="s">
        <v>28</v>
      </c>
      <c r="C6" s="53"/>
      <c r="D6" s="53">
        <f>C6+D24</f>
        <v>200</v>
      </c>
      <c r="E6" s="53">
        <f>D6+E24</f>
        <v>450</v>
      </c>
      <c r="F6" s="53">
        <f>E6+F24</f>
        <v>720</v>
      </c>
      <c r="G6" s="59">
        <f>F6+G24</f>
        <v>995.4</v>
      </c>
      <c r="H6" s="55">
        <f>G6+H24</f>
        <v>1276.308</v>
      </c>
      <c r="J6" s="70" t="s">
        <v>64</v>
      </c>
      <c r="K6" s="71">
        <v>0.1</v>
      </c>
    </row>
    <row r="7" spans="2:11" ht="15.75" thickBot="1">
      <c r="B7" s="16" t="s">
        <v>29</v>
      </c>
      <c r="C7" s="53">
        <f>C5-C6</f>
        <v>1600</v>
      </c>
      <c r="D7" s="53">
        <f>D5-D6</f>
        <v>1600</v>
      </c>
      <c r="E7" s="53">
        <f>E5-E6</f>
        <v>1850</v>
      </c>
      <c r="F7" s="53">
        <f>F5-F6</f>
        <v>1880</v>
      </c>
      <c r="G7" s="59">
        <f>F7*(1+$K$3)</f>
        <v>1917.6000000000001</v>
      </c>
      <c r="H7" s="55">
        <f>G7*(1+$K$3)</f>
        <v>1955.9520000000002</v>
      </c>
      <c r="J7" s="72" t="s">
        <v>65</v>
      </c>
      <c r="K7" s="73">
        <v>0.35</v>
      </c>
    </row>
    <row r="8" spans="2:8" ht="15.75" thickBot="1">
      <c r="B8" s="17" t="s">
        <v>30</v>
      </c>
      <c r="C8" s="37">
        <f aca="true" t="shared" si="0" ref="C8:H8">C7+C4</f>
        <v>2000</v>
      </c>
      <c r="D8" s="37">
        <f t="shared" si="0"/>
        <v>2030</v>
      </c>
      <c r="E8" s="37">
        <f t="shared" si="0"/>
        <v>2365</v>
      </c>
      <c r="F8" s="37">
        <f t="shared" si="0"/>
        <v>2430</v>
      </c>
      <c r="G8" s="63">
        <f t="shared" si="0"/>
        <v>2478.6000000000004</v>
      </c>
      <c r="H8" s="56">
        <f t="shared" si="0"/>
        <v>2528.1720000000005</v>
      </c>
    </row>
    <row r="9" spans="2:8" ht="15.75" thickBot="1">
      <c r="B9" s="18"/>
      <c r="C9" s="38"/>
      <c r="D9" s="38"/>
      <c r="E9" s="38"/>
      <c r="F9" s="38"/>
      <c r="G9" s="38"/>
      <c r="H9" s="54"/>
    </row>
    <row r="10" spans="2:8" ht="15">
      <c r="B10" s="15" t="s">
        <v>31</v>
      </c>
      <c r="C10" s="39">
        <v>1500</v>
      </c>
      <c r="D10" s="39">
        <v>1500</v>
      </c>
      <c r="E10" s="39">
        <v>1500</v>
      </c>
      <c r="F10" s="39">
        <v>1500</v>
      </c>
      <c r="G10" s="58">
        <f>F10*(1+$K$3)</f>
        <v>1530</v>
      </c>
      <c r="H10" s="57">
        <f>G10*(1+$K$3)</f>
        <v>1560.6000000000001</v>
      </c>
    </row>
    <row r="11" spans="2:8" ht="15">
      <c r="B11" s="16" t="s">
        <v>32</v>
      </c>
      <c r="C11" s="35">
        <v>500</v>
      </c>
      <c r="D11" s="35">
        <v>530</v>
      </c>
      <c r="E11" s="35">
        <v>865</v>
      </c>
      <c r="F11" s="53">
        <v>930</v>
      </c>
      <c r="G11" s="59">
        <v>948.6</v>
      </c>
      <c r="H11" s="55">
        <v>967.57</v>
      </c>
    </row>
    <row r="12" spans="2:8" ht="15.75" thickBot="1">
      <c r="B12" s="17" t="s">
        <v>33</v>
      </c>
      <c r="C12" s="37">
        <f aca="true" t="shared" si="1" ref="C12:H12">SUM(C10:C11)</f>
        <v>2000</v>
      </c>
      <c r="D12" s="37">
        <f t="shared" si="1"/>
        <v>2030</v>
      </c>
      <c r="E12" s="37">
        <f t="shared" si="1"/>
        <v>2365</v>
      </c>
      <c r="F12" s="37">
        <f t="shared" si="1"/>
        <v>2430</v>
      </c>
      <c r="G12" s="63">
        <f t="shared" si="1"/>
        <v>2478.6</v>
      </c>
      <c r="H12" s="56">
        <f t="shared" si="1"/>
        <v>2528.17</v>
      </c>
    </row>
    <row r="13" spans="2:8" ht="15">
      <c r="B13" s="18"/>
      <c r="C13" s="38"/>
      <c r="D13" s="38"/>
      <c r="E13" s="38"/>
      <c r="F13" s="38"/>
      <c r="G13" s="38"/>
      <c r="H13" s="38"/>
    </row>
    <row r="14" spans="2:8" ht="15.75" thickBot="1">
      <c r="B14" s="19" t="s">
        <v>34</v>
      </c>
      <c r="C14" s="41"/>
      <c r="D14" s="41"/>
      <c r="E14" s="41"/>
      <c r="F14" s="41"/>
      <c r="G14" s="41"/>
      <c r="H14" s="41"/>
    </row>
    <row r="15" spans="2:8" ht="15">
      <c r="B15" s="15" t="s">
        <v>35</v>
      </c>
      <c r="C15" s="39"/>
      <c r="D15" s="39">
        <v>420</v>
      </c>
      <c r="E15" s="39">
        <v>680</v>
      </c>
      <c r="F15" s="39">
        <v>740</v>
      </c>
      <c r="G15" s="58">
        <v>765</v>
      </c>
      <c r="H15" s="57">
        <f>G15*(1+$K$3)</f>
        <v>780.3000000000001</v>
      </c>
    </row>
    <row r="16" spans="2:8" ht="15">
      <c r="B16" s="16" t="s">
        <v>36</v>
      </c>
      <c r="C16" s="53"/>
      <c r="D16" s="53">
        <f>C10*$K$4</f>
        <v>120</v>
      </c>
      <c r="E16" s="53">
        <f>D10*$K$4</f>
        <v>120</v>
      </c>
      <c r="F16" s="53">
        <f>E10*$K$4</f>
        <v>120</v>
      </c>
      <c r="G16" s="59">
        <f>F10*$K$4</f>
        <v>120</v>
      </c>
      <c r="H16" s="55">
        <f>G10*$K$4</f>
        <v>122.4</v>
      </c>
    </row>
    <row r="17" spans="2:8" ht="15">
      <c r="B17" s="16" t="s">
        <v>37</v>
      </c>
      <c r="C17" s="53"/>
      <c r="D17" s="53">
        <f>D15-D16</f>
        <v>300</v>
      </c>
      <c r="E17" s="53">
        <f>E15-E16</f>
        <v>560</v>
      </c>
      <c r="F17" s="53">
        <f>F15-F16</f>
        <v>620</v>
      </c>
      <c r="G17" s="59">
        <f>G15-G16</f>
        <v>645</v>
      </c>
      <c r="H17" s="55">
        <f>H15-H16</f>
        <v>657.9000000000001</v>
      </c>
    </row>
    <row r="18" spans="2:8" ht="15">
      <c r="B18" s="16" t="s">
        <v>38</v>
      </c>
      <c r="C18" s="53"/>
      <c r="D18" s="53">
        <f>D17*$K$7</f>
        <v>105</v>
      </c>
      <c r="E18" s="53">
        <f>E17*$K$7</f>
        <v>196</v>
      </c>
      <c r="F18" s="53">
        <f>F17*$K$7</f>
        <v>217</v>
      </c>
      <c r="G18" s="59">
        <f>G17*$K$7</f>
        <v>225.74999999999997</v>
      </c>
      <c r="H18" s="55">
        <f>H17*$K$7</f>
        <v>230.26500000000001</v>
      </c>
    </row>
    <row r="19" spans="2:8" ht="15.75" thickBot="1">
      <c r="B19" s="17" t="s">
        <v>39</v>
      </c>
      <c r="C19" s="37"/>
      <c r="D19" s="37">
        <f>D17-D18</f>
        <v>195</v>
      </c>
      <c r="E19" s="37">
        <f>E17-E18</f>
        <v>364</v>
      </c>
      <c r="F19" s="37">
        <f>F17-F18</f>
        <v>403</v>
      </c>
      <c r="G19" s="60">
        <f>G17-G18</f>
        <v>419.25</v>
      </c>
      <c r="H19" s="56">
        <f>H17-H18</f>
        <v>427.6350000000001</v>
      </c>
    </row>
    <row r="20" spans="3:8" ht="15">
      <c r="C20" s="42"/>
      <c r="D20" s="42"/>
      <c r="E20" s="42"/>
      <c r="F20" s="42"/>
      <c r="G20" s="42"/>
      <c r="H20" s="42"/>
    </row>
    <row r="21" spans="2:8" ht="15.75" thickBot="1">
      <c r="B21" s="24" t="s">
        <v>40</v>
      </c>
      <c r="C21" s="43"/>
      <c r="D21" s="42"/>
      <c r="E21" s="42"/>
      <c r="F21" s="42"/>
      <c r="G21" s="42"/>
      <c r="H21" s="42"/>
    </row>
    <row r="22" spans="2:8" ht="15.75" thickBot="1">
      <c r="B22" s="15"/>
      <c r="C22" s="44"/>
      <c r="D22" s="51">
        <v>1</v>
      </c>
      <c r="E22" s="51">
        <v>2</v>
      </c>
      <c r="F22" s="51">
        <v>3</v>
      </c>
      <c r="G22" s="61">
        <v>4</v>
      </c>
      <c r="H22" s="52">
        <v>5</v>
      </c>
    </row>
    <row r="23" spans="2:8" ht="16.5" thickBot="1" thickTop="1">
      <c r="B23" s="20" t="s">
        <v>41</v>
      </c>
      <c r="C23" s="45"/>
      <c r="D23" s="46">
        <f>D19</f>
        <v>195</v>
      </c>
      <c r="E23" s="46">
        <f>E19</f>
        <v>364</v>
      </c>
      <c r="F23" s="46">
        <f>F19</f>
        <v>403</v>
      </c>
      <c r="G23" s="62">
        <f>G19</f>
        <v>419.25</v>
      </c>
      <c r="H23" s="47">
        <f>H19</f>
        <v>427.6350000000001</v>
      </c>
    </row>
    <row r="24" spans="2:8" ht="15.75" thickTop="1">
      <c r="B24" s="16" t="s">
        <v>42</v>
      </c>
      <c r="C24" s="48"/>
      <c r="D24" s="53">
        <v>200</v>
      </c>
      <c r="E24" s="53">
        <v>250</v>
      </c>
      <c r="F24" s="53">
        <v>270</v>
      </c>
      <c r="G24" s="58">
        <f>F24*(1+$K$3)</f>
        <v>275.4</v>
      </c>
      <c r="H24" s="40">
        <f>G24*(1+$K$3)</f>
        <v>280.90799999999996</v>
      </c>
    </row>
    <row r="25" spans="2:8" ht="15">
      <c r="B25" s="16" t="s">
        <v>43</v>
      </c>
      <c r="C25" s="48"/>
      <c r="D25" s="53">
        <f>D10-C10</f>
        <v>0</v>
      </c>
      <c r="E25" s="53">
        <f>E10-D10</f>
        <v>0</v>
      </c>
      <c r="F25" s="53">
        <f>F10-E10</f>
        <v>0</v>
      </c>
      <c r="G25" s="59">
        <f>G10-F10</f>
        <v>30</v>
      </c>
      <c r="H25" s="36">
        <f>H10-G10</f>
        <v>30.600000000000136</v>
      </c>
    </row>
    <row r="26" spans="2:8" ht="15">
      <c r="B26" s="16" t="s">
        <v>44</v>
      </c>
      <c r="C26" s="48"/>
      <c r="D26" s="53">
        <f aca="true" t="shared" si="2" ref="D26:H27">C4-D4</f>
        <v>-30</v>
      </c>
      <c r="E26" s="53">
        <f t="shared" si="2"/>
        <v>-85</v>
      </c>
      <c r="F26" s="53">
        <f t="shared" si="2"/>
        <v>-35</v>
      </c>
      <c r="G26" s="59">
        <f t="shared" si="2"/>
        <v>-11</v>
      </c>
      <c r="H26" s="36">
        <f t="shared" si="2"/>
        <v>-11.220000000000027</v>
      </c>
    </row>
    <row r="27" spans="2:8" ht="15">
      <c r="B27" s="16" t="s">
        <v>45</v>
      </c>
      <c r="C27" s="48"/>
      <c r="D27" s="53">
        <f t="shared" si="2"/>
        <v>-200</v>
      </c>
      <c r="E27" s="53">
        <f t="shared" si="2"/>
        <v>-500</v>
      </c>
      <c r="F27" s="53">
        <f t="shared" si="2"/>
        <v>-300</v>
      </c>
      <c r="G27" s="59">
        <f t="shared" si="2"/>
        <v>-313</v>
      </c>
      <c r="H27" s="36">
        <f t="shared" si="2"/>
        <v>-319.2600000000002</v>
      </c>
    </row>
    <row r="28" spans="2:8" ht="15.75" thickBot="1">
      <c r="B28" s="17" t="s">
        <v>3</v>
      </c>
      <c r="C28" s="49"/>
      <c r="D28" s="37">
        <f>SUM(D23:D27)</f>
        <v>165</v>
      </c>
      <c r="E28" s="37">
        <f>SUM(E23:E27)</f>
        <v>29</v>
      </c>
      <c r="F28" s="37">
        <f>SUM(F23:F27)</f>
        <v>338</v>
      </c>
      <c r="G28" s="60">
        <f>SUM(G23:G27)</f>
        <v>400.65</v>
      </c>
      <c r="H28" s="56">
        <f>SUM(H23:H27)</f>
        <v>408.663</v>
      </c>
    </row>
    <row r="29" spans="2:8" ht="15.75" thickBot="1">
      <c r="B29" s="17" t="s">
        <v>46</v>
      </c>
      <c r="C29" s="49"/>
      <c r="D29" s="37">
        <f>D28-D25+D16*(1-$K$7)</f>
        <v>243</v>
      </c>
      <c r="E29" s="37">
        <f>E28-E25+E16*(1-$K$7)</f>
        <v>107</v>
      </c>
      <c r="F29" s="37">
        <f>F28-F25+F16*(1-$K$7)</f>
        <v>416</v>
      </c>
      <c r="G29" s="60">
        <f>G28-G25+G16*(1-$K$7)</f>
        <v>448.65</v>
      </c>
      <c r="H29" s="56">
        <f>H28-H25+H16*(1-$K$7)</f>
        <v>457.6229999999999</v>
      </c>
    </row>
    <row r="30" spans="2:8" ht="15.75" thickBot="1">
      <c r="B30" s="17" t="s">
        <v>47</v>
      </c>
      <c r="C30" s="49"/>
      <c r="D30" s="37">
        <f>D16+C10-D10</f>
        <v>120</v>
      </c>
      <c r="E30" s="37">
        <f>E16+D10-E10</f>
        <v>120</v>
      </c>
      <c r="F30" s="37">
        <f>F16+E10-F10</f>
        <v>120</v>
      </c>
      <c r="G30" s="60">
        <f>G16+F10-G10</f>
        <v>90</v>
      </c>
      <c r="H30" s="56">
        <f>H16+G10-H10</f>
        <v>91.79999999999995</v>
      </c>
    </row>
    <row r="31" spans="2:8" ht="15">
      <c r="B31" s="74"/>
      <c r="C31" s="75"/>
      <c r="D31" s="76"/>
      <c r="E31" s="76"/>
      <c r="F31" s="76"/>
      <c r="G31" s="77"/>
      <c r="H31" s="77"/>
    </row>
    <row r="35" s="79" customFormat="1" ht="15"/>
    <row r="52" ht="15">
      <c r="B52" s="93"/>
    </row>
    <row r="53" ht="15">
      <c r="B53" s="93"/>
    </row>
    <row r="54" ht="15">
      <c r="B54" s="93"/>
    </row>
    <row r="55" ht="15.75" thickBot="1">
      <c r="B55" s="1" t="s">
        <v>48</v>
      </c>
    </row>
    <row r="56" spans="2:8" ht="15.75" thickBot="1">
      <c r="B56" s="21"/>
      <c r="C56" s="22">
        <v>0</v>
      </c>
      <c r="D56" s="22">
        <v>1</v>
      </c>
      <c r="E56" s="22">
        <v>2</v>
      </c>
      <c r="F56" s="22">
        <v>3</v>
      </c>
      <c r="G56" s="98">
        <v>4</v>
      </c>
      <c r="H56" s="23">
        <v>5</v>
      </c>
    </row>
    <row r="57" spans="2:8" ht="15.75" thickBot="1">
      <c r="B57" s="108" t="s">
        <v>6</v>
      </c>
      <c r="C57" s="31">
        <f aca="true" t="shared" si="3" ref="C57:H57">$K$6+($K$6-$K$4)*(1-$K$7)*C59/C66</f>
        <v>0.10492553203602702</v>
      </c>
      <c r="D57" s="31">
        <f t="shared" si="3"/>
        <v>0.10463253375741781</v>
      </c>
      <c r="E57" s="31">
        <f t="shared" si="3"/>
        <v>0.10422005262769594</v>
      </c>
      <c r="F57" s="31">
        <f t="shared" si="3"/>
        <v>0.10409287682014955</v>
      </c>
      <c r="G57" s="99">
        <f t="shared" si="3"/>
        <v>0.10409287682014955</v>
      </c>
      <c r="H57" s="32">
        <f t="shared" si="3"/>
        <v>0.10409287682014955</v>
      </c>
    </row>
    <row r="58" spans="2:8" ht="15.75" thickBot="1">
      <c r="B58" s="109" t="s">
        <v>49</v>
      </c>
      <c r="C58" s="87">
        <f>SUM(D100:H100)</f>
        <v>3958.9631855747566</v>
      </c>
      <c r="D58" s="87">
        <f>C58*(1+C57)-D28</f>
        <v>4209.359504132232</v>
      </c>
      <c r="E58" s="87">
        <f>D58*(1+D57)-E28</f>
        <v>4620.795454545456</v>
      </c>
      <c r="F58" s="87">
        <f>E58*(1+E57)-F28</f>
        <v>4764.375000000002</v>
      </c>
      <c r="G58" s="100">
        <f>F58*(1+F57)-G28</f>
        <v>4859.662500000002</v>
      </c>
      <c r="H58" s="88">
        <f>G58*(1+G57)-H28</f>
        <v>4956.855750000002</v>
      </c>
    </row>
    <row r="59" spans="2:8" ht="16.5" thickBot="1" thickTop="1">
      <c r="B59" s="110" t="s">
        <v>50</v>
      </c>
      <c r="C59" s="90">
        <f>NPV(K4,D95:H95)</f>
        <v>1499.999999999999</v>
      </c>
      <c r="D59" s="90">
        <f>C59*(1+$K$4)-D30</f>
        <v>1499.999999999999</v>
      </c>
      <c r="E59" s="90">
        <f>D59*(1+$K$4)-E30</f>
        <v>1499.999999999999</v>
      </c>
      <c r="F59" s="90">
        <f>E59*(1+$K$4)-F30</f>
        <v>1499.999999999999</v>
      </c>
      <c r="G59" s="101">
        <f>F59*(1+$K$4)-G30</f>
        <v>1529.999999999999</v>
      </c>
      <c r="H59" s="91">
        <f>G59*(1+$K$4)-H30</f>
        <v>1560.5999999999992</v>
      </c>
    </row>
    <row r="60" spans="1:8" ht="15.75" thickTop="1">
      <c r="A60" s="50" t="s">
        <v>76</v>
      </c>
      <c r="B60" s="111" t="s">
        <v>51</v>
      </c>
      <c r="C60" s="80">
        <f>SUM(D105:H105)</f>
        <v>5458.963185574752</v>
      </c>
      <c r="D60" s="80">
        <f>C60*(1+C61)-D29</f>
        <v>5709.359504132228</v>
      </c>
      <c r="E60" s="80">
        <f>D60*(1+D61)-E29</f>
        <v>6120.79545454545</v>
      </c>
      <c r="F60" s="80">
        <f>E60*(1+E61)-F29</f>
        <v>6264.374999999996</v>
      </c>
      <c r="G60" s="102">
        <f>F60*(1+F61)-G29</f>
        <v>6389.662499999997</v>
      </c>
      <c r="H60" s="81">
        <f>G60*(1+G61)-H29</f>
        <v>6517.455749999997</v>
      </c>
    </row>
    <row r="61" spans="1:8" ht="15">
      <c r="A61" s="50"/>
      <c r="B61" s="111" t="s">
        <v>52</v>
      </c>
      <c r="C61" s="33">
        <f aca="true" t="shared" si="4" ref="C61:H61">(C59*$K$4*(1-$K$7)+C58*C57)/(C59+C58)</f>
        <v>0.09038278914598095</v>
      </c>
      <c r="D61" s="33">
        <f t="shared" si="4"/>
        <v>0.09080457274375484</v>
      </c>
      <c r="E61" s="33">
        <f t="shared" si="4"/>
        <v>0.09142268347474149</v>
      </c>
      <c r="F61" s="33">
        <f t="shared" si="4"/>
        <v>0.09161927566596828</v>
      </c>
      <c r="G61" s="103">
        <f t="shared" si="4"/>
        <v>0.0916192756659683</v>
      </c>
      <c r="H61" s="34">
        <f t="shared" si="4"/>
        <v>0.0916192756659683</v>
      </c>
    </row>
    <row r="62" spans="1:8" ht="15.75" thickBot="1">
      <c r="A62" s="50"/>
      <c r="B62" s="109" t="s">
        <v>53</v>
      </c>
      <c r="C62" s="87">
        <f aca="true" t="shared" si="5" ref="C62:H62">C60-C59</f>
        <v>3958.963185574753</v>
      </c>
      <c r="D62" s="87">
        <f t="shared" si="5"/>
        <v>4209.359504132229</v>
      </c>
      <c r="E62" s="87">
        <f t="shared" si="5"/>
        <v>4620.795454545451</v>
      </c>
      <c r="F62" s="87">
        <f t="shared" si="5"/>
        <v>4764.374999999997</v>
      </c>
      <c r="G62" s="100">
        <f t="shared" si="5"/>
        <v>4859.662499999998</v>
      </c>
      <c r="H62" s="88">
        <f t="shared" si="5"/>
        <v>4956.855749999998</v>
      </c>
    </row>
    <row r="63" spans="1:8" ht="16.5" thickBot="1" thickTop="1">
      <c r="A63" s="50"/>
      <c r="B63" s="112" t="s">
        <v>54</v>
      </c>
      <c r="C63" s="89">
        <f>NPV(K6,D92:H92)</f>
        <v>623.6100676183319</v>
      </c>
      <c r="D63" s="89">
        <f>C63*(1+$K$6)-D90</f>
        <v>633.4710743801651</v>
      </c>
      <c r="E63" s="89">
        <f>D63*(1+$K$6)-E90</f>
        <v>644.3181818181816</v>
      </c>
      <c r="F63" s="89">
        <f>E63*(1+$K$6)-F90</f>
        <v>656.2499999999999</v>
      </c>
      <c r="G63" s="104">
        <f>F63*(1+$K$6)-G90</f>
        <v>669.3749999999999</v>
      </c>
      <c r="H63" s="105">
        <f>G63*(1+$K$6)-H90</f>
        <v>682.7624999999999</v>
      </c>
    </row>
    <row r="64" spans="1:8" ht="15">
      <c r="A64" s="50"/>
      <c r="B64" s="111" t="s">
        <v>55</v>
      </c>
      <c r="C64" s="80">
        <f>NPV(K6,D89:H89)</f>
        <v>4835.353117956421</v>
      </c>
      <c r="D64" s="80">
        <f>C64*(1+$K$6)-D29</f>
        <v>5075.8884297520635</v>
      </c>
      <c r="E64" s="80">
        <f>D64*(1+$K$6)-E29</f>
        <v>5476.47727272727</v>
      </c>
      <c r="F64" s="80">
        <f>E64*(1+$K$6)-F29</f>
        <v>5608.124999999998</v>
      </c>
      <c r="G64" s="102">
        <f>F64*(1+$K$6)-G29</f>
        <v>5720.2874999999985</v>
      </c>
      <c r="H64" s="81">
        <f>G64*(1+$K$6)-H29</f>
        <v>5834.693249999999</v>
      </c>
    </row>
    <row r="65" spans="1:8" ht="15">
      <c r="A65" s="50" t="s">
        <v>77</v>
      </c>
      <c r="B65" s="111" t="s">
        <v>56</v>
      </c>
      <c r="C65" s="80">
        <f aca="true" t="shared" si="6" ref="C65:H65">C63+C64</f>
        <v>5458.963185574752</v>
      </c>
      <c r="D65" s="80">
        <f t="shared" si="6"/>
        <v>5709.359504132229</v>
      </c>
      <c r="E65" s="80">
        <f t="shared" si="6"/>
        <v>6120.795454545452</v>
      </c>
      <c r="F65" s="80">
        <f t="shared" si="6"/>
        <v>6264.374999999998</v>
      </c>
      <c r="G65" s="102">
        <f t="shared" si="6"/>
        <v>6389.6624999999985</v>
      </c>
      <c r="H65" s="81">
        <f t="shared" si="6"/>
        <v>6517.455749999999</v>
      </c>
    </row>
    <row r="66" spans="2:8" ht="15.75" thickBot="1">
      <c r="B66" s="113" t="s">
        <v>57</v>
      </c>
      <c r="C66" s="82">
        <f aca="true" t="shared" si="7" ref="C66:H66">C65-C59</f>
        <v>3958.963185574753</v>
      </c>
      <c r="D66" s="82">
        <f t="shared" si="7"/>
        <v>4209.35950413223</v>
      </c>
      <c r="E66" s="82">
        <f t="shared" si="7"/>
        <v>4620.795454545453</v>
      </c>
      <c r="F66" s="82">
        <f t="shared" si="7"/>
        <v>4764.374999999999</v>
      </c>
      <c r="G66" s="106">
        <f t="shared" si="7"/>
        <v>4859.662499999999</v>
      </c>
      <c r="H66" s="107">
        <f t="shared" si="7"/>
        <v>4956.85575</v>
      </c>
    </row>
    <row r="68" spans="2:8" ht="15">
      <c r="B68" s="92"/>
      <c r="C68" s="85"/>
      <c r="D68" s="86"/>
      <c r="E68" s="86"/>
      <c r="F68" s="86"/>
      <c r="G68" s="86"/>
      <c r="H68" s="86"/>
    </row>
    <row r="69" ht="15.75" thickBot="1">
      <c r="B69" s="24" t="s">
        <v>58</v>
      </c>
    </row>
    <row r="70" spans="2:8" ht="15.75" thickBot="1">
      <c r="B70" s="114"/>
      <c r="C70" s="115">
        <v>0</v>
      </c>
      <c r="D70" s="115">
        <v>1</v>
      </c>
      <c r="E70" s="115">
        <v>2</v>
      </c>
      <c r="F70" s="116">
        <v>3</v>
      </c>
      <c r="G70" s="115">
        <v>4</v>
      </c>
      <c r="H70" s="116">
        <v>5</v>
      </c>
    </row>
    <row r="71" spans="2:8" ht="15">
      <c r="B71" s="15" t="s">
        <v>59</v>
      </c>
      <c r="C71" s="117">
        <f>NPV($K$6,D110:$H110)*(1+$K$6)/(1+$K$4)</f>
        <v>508.1267217630849</v>
      </c>
      <c r="D71" s="117">
        <f>NPV($K$6,E110:$H110)*(1+$K$6)/(1+$K$4)</f>
        <v>516.1616161616157</v>
      </c>
      <c r="E71" s="117">
        <f>NPV($K$6,F110:$H110)*(1+$K$6)/(1+$K$4)</f>
        <v>524.9999999999998</v>
      </c>
      <c r="F71" s="117">
        <f>NPV($K$6,G110:$H110)*(1+$K$6)/(1+$K$4)</f>
        <v>534.7222222222218</v>
      </c>
      <c r="G71" s="117">
        <f>NPV($K$6,H110:$H110)*(1+$K$6)/(1+$K$4)</f>
        <v>545.4166666666664</v>
      </c>
      <c r="H71" s="118">
        <f>G71*(1+K3)</f>
        <v>556.3249999999997</v>
      </c>
    </row>
    <row r="72" spans="2:8" ht="15.75" thickBot="1">
      <c r="B72" s="119" t="s">
        <v>81</v>
      </c>
      <c r="C72" s="89">
        <f aca="true" t="shared" si="8" ref="C72:H72">C71+C64-C59</f>
        <v>3843.4798397195063</v>
      </c>
      <c r="D72" s="89">
        <f t="shared" si="8"/>
        <v>4092.05004591368</v>
      </c>
      <c r="E72" s="89">
        <f t="shared" si="8"/>
        <v>4501.477272727271</v>
      </c>
      <c r="F72" s="89">
        <f t="shared" si="8"/>
        <v>4642.847222222221</v>
      </c>
      <c r="G72" s="89">
        <f t="shared" si="8"/>
        <v>4735.7041666666655</v>
      </c>
      <c r="H72" s="105">
        <f t="shared" si="8"/>
        <v>4830.41825</v>
      </c>
    </row>
    <row r="73" spans="2:8" ht="15">
      <c r="B73" s="121" t="s">
        <v>6</v>
      </c>
      <c r="C73" s="122">
        <f aca="true" t="shared" si="9" ref="C73:H73">$K$6+($K$6-$K$4)*(1-$K$7*$K$4/(1+$K$4))*C59/C72</f>
        <v>0.1076030637445349</v>
      </c>
      <c r="D73" s="122">
        <f t="shared" si="9"/>
        <v>0.10714121818998855</v>
      </c>
      <c r="E73" s="122">
        <f t="shared" si="9"/>
        <v>0.1064916960481548</v>
      </c>
      <c r="F73" s="122">
        <f t="shared" si="9"/>
        <v>0.10629403054280032</v>
      </c>
      <c r="G73" s="122">
        <f t="shared" si="9"/>
        <v>0.10629403054280032</v>
      </c>
      <c r="H73" s="123">
        <f t="shared" si="9"/>
        <v>0.10629403054280032</v>
      </c>
    </row>
    <row r="74" spans="2:8" ht="15.75" thickBot="1">
      <c r="B74" s="25" t="s">
        <v>52</v>
      </c>
      <c r="C74" s="120">
        <f aca="true" t="shared" si="10" ref="C74:H74">(C59*$K$4*(1-$K$7)+C72*C73)/(C72+C59)</f>
        <v>0.09199439708562215</v>
      </c>
      <c r="D74" s="120">
        <f t="shared" si="10"/>
        <v>0.09235025126267656</v>
      </c>
      <c r="E74" s="120">
        <f t="shared" si="10"/>
        <v>0.09287212533951027</v>
      </c>
      <c r="F74" s="120">
        <f t="shared" si="10"/>
        <v>0.09303616446408991</v>
      </c>
      <c r="G74" s="120">
        <f t="shared" si="10"/>
        <v>0.09303616446408991</v>
      </c>
      <c r="H74" s="124">
        <f t="shared" si="10"/>
        <v>0.0930361644640899</v>
      </c>
    </row>
    <row r="77" ht="15.75" thickBot="1">
      <c r="B77" s="24" t="s">
        <v>60</v>
      </c>
    </row>
    <row r="78" spans="2:8" ht="15.75" thickBot="1">
      <c r="B78" s="114"/>
      <c r="C78" s="115">
        <v>0</v>
      </c>
      <c r="D78" s="115">
        <v>1</v>
      </c>
      <c r="E78" s="115">
        <v>2</v>
      </c>
      <c r="F78" s="116">
        <v>3</v>
      </c>
      <c r="G78" s="115">
        <v>4</v>
      </c>
      <c r="H78" s="116">
        <v>5</v>
      </c>
    </row>
    <row r="79" spans="2:8" ht="15">
      <c r="B79" s="15" t="s">
        <v>61</v>
      </c>
      <c r="C79" s="117">
        <f>NPV($K$4,D115:$H115)</f>
        <v>663.9206421785292</v>
      </c>
      <c r="D79" s="117">
        <f>NPV($K$4,E115:$H115)</f>
        <v>675.0342935528116</v>
      </c>
      <c r="E79" s="117">
        <f>NPV($K$4,F115:$H115)</f>
        <v>687.0370370370366</v>
      </c>
      <c r="F79" s="117">
        <f>NPV($K$4,G115:$H115)</f>
        <v>699.9999999999997</v>
      </c>
      <c r="G79" s="117">
        <f>NPV($K$4,H115:$H115)</f>
        <v>713.9999999999997</v>
      </c>
      <c r="H79" s="118">
        <f>G79*(1+K3)</f>
        <v>728.2799999999996</v>
      </c>
    </row>
    <row r="80" spans="2:8" ht="15.75" thickBot="1">
      <c r="B80" s="119" t="s">
        <v>80</v>
      </c>
      <c r="C80" s="89">
        <f aca="true" t="shared" si="11" ref="C80:H80">C79+C64-C59</f>
        <v>3999.273760134951</v>
      </c>
      <c r="D80" s="89">
        <f t="shared" si="11"/>
        <v>4250.922723304876</v>
      </c>
      <c r="E80" s="89">
        <f t="shared" si="11"/>
        <v>4663.514309764308</v>
      </c>
      <c r="F80" s="89">
        <f t="shared" si="11"/>
        <v>4808.124999999999</v>
      </c>
      <c r="G80" s="89">
        <f t="shared" si="11"/>
        <v>4904.287499999999</v>
      </c>
      <c r="H80" s="105">
        <f t="shared" si="11"/>
        <v>5002.37325</v>
      </c>
    </row>
    <row r="81" spans="2:8" ht="15">
      <c r="B81" s="121" t="s">
        <v>6</v>
      </c>
      <c r="C81" s="122">
        <f aca="true" t="shared" si="12" ref="C81:H81">$K$6+($K$6-$K$4)*(C64-C80)/C80</f>
        <v>0.10418115591963506</v>
      </c>
      <c r="D81" s="122">
        <f t="shared" si="12"/>
        <v>0.10388134887479591</v>
      </c>
      <c r="E81" s="122">
        <f t="shared" si="12"/>
        <v>0.10348648212040783</v>
      </c>
      <c r="F81" s="122">
        <f t="shared" si="12"/>
        <v>0.10332770050695438</v>
      </c>
      <c r="G81" s="122">
        <f t="shared" si="12"/>
        <v>0.10332770050695438</v>
      </c>
      <c r="H81" s="123">
        <f t="shared" si="12"/>
        <v>0.10332770050695438</v>
      </c>
    </row>
    <row r="82" spans="2:8" ht="15.75" thickBot="1">
      <c r="B82" s="25" t="s">
        <v>52</v>
      </c>
      <c r="C82" s="125">
        <f aca="true" t="shared" si="13" ref="C82:H82">(C59*$K$4*(1-$K$7)+C80*C81)/(C80+C59)</f>
        <v>0.0899480521874921</v>
      </c>
      <c r="D82" s="125">
        <f t="shared" si="13"/>
        <v>0.09034925549492315</v>
      </c>
      <c r="E82" s="125">
        <f t="shared" si="13"/>
        <v>0.09095633790410196</v>
      </c>
      <c r="F82" s="125">
        <f t="shared" si="13"/>
        <v>0.09112256019023086</v>
      </c>
      <c r="G82" s="125">
        <f t="shared" si="13"/>
        <v>0.09112256019023086</v>
      </c>
      <c r="H82" s="126">
        <f t="shared" si="13"/>
        <v>0.09112256019023085</v>
      </c>
    </row>
    <row r="86" spans="2:8" ht="12" customHeight="1">
      <c r="B86" s="132" t="s">
        <v>84</v>
      </c>
      <c r="C86" s="133"/>
      <c r="D86" s="134"/>
      <c r="E86" s="134"/>
      <c r="F86" s="134"/>
      <c r="G86" s="135"/>
      <c r="H86" s="135"/>
    </row>
    <row r="87" spans="2:8" ht="12" customHeight="1">
      <c r="B87" s="83" t="s">
        <v>2</v>
      </c>
      <c r="C87" s="136"/>
      <c r="D87" s="137">
        <f>D29</f>
        <v>243</v>
      </c>
      <c r="E87" s="137">
        <f>E29</f>
        <v>107</v>
      </c>
      <c r="F87" s="137">
        <f>F29</f>
        <v>416</v>
      </c>
      <c r="G87" s="137">
        <f>G29</f>
        <v>448.65</v>
      </c>
      <c r="H87" s="138">
        <f>H29</f>
        <v>457.6229999999999</v>
      </c>
    </row>
    <row r="88" spans="2:8" ht="12" customHeight="1">
      <c r="B88" s="84" t="s">
        <v>66</v>
      </c>
      <c r="C88" s="139"/>
      <c r="D88" s="140"/>
      <c r="E88" s="140"/>
      <c r="F88" s="140"/>
      <c r="G88" s="141"/>
      <c r="H88" s="142">
        <f>H87*(1+$K$3)/(K6-$K$3)</f>
        <v>5834.693249999998</v>
      </c>
    </row>
    <row r="89" spans="2:8" ht="12" customHeight="1">
      <c r="B89" s="143" t="s">
        <v>67</v>
      </c>
      <c r="C89" s="144"/>
      <c r="D89" s="145">
        <f>SUM(D87:D88)</f>
        <v>243</v>
      </c>
      <c r="E89" s="145">
        <f>SUM(E87:E88)</f>
        <v>107</v>
      </c>
      <c r="F89" s="145">
        <f>SUM(F87:F88)</f>
        <v>416</v>
      </c>
      <c r="G89" s="145">
        <f>SUM(G87:G88)</f>
        <v>448.65</v>
      </c>
      <c r="H89" s="146">
        <f>SUM(H87:H88)</f>
        <v>6292.316249999998</v>
      </c>
    </row>
    <row r="90" spans="2:8" ht="12" customHeight="1">
      <c r="B90" s="83" t="s">
        <v>68</v>
      </c>
      <c r="C90" s="136"/>
      <c r="D90" s="137">
        <f>C10*$K$7*$K$6</f>
        <v>52.5</v>
      </c>
      <c r="E90" s="137">
        <f>D10*$K$7*$K$6</f>
        <v>52.5</v>
      </c>
      <c r="F90" s="137">
        <f>E10*$K$7*$K$6</f>
        <v>52.5</v>
      </c>
      <c r="G90" s="137">
        <f>F10*$K$7*$K$6</f>
        <v>52.5</v>
      </c>
      <c r="H90" s="138">
        <f>G10*$K$7*$K$6</f>
        <v>53.550000000000004</v>
      </c>
    </row>
    <row r="91" spans="2:8" ht="12" customHeight="1">
      <c r="B91" s="84" t="s">
        <v>69</v>
      </c>
      <c r="C91" s="139"/>
      <c r="D91" s="140"/>
      <c r="E91" s="140"/>
      <c r="F91" s="140"/>
      <c r="G91" s="141"/>
      <c r="H91" s="142">
        <f>H90*(1+$K$3)/(K6-$K$3)</f>
        <v>682.7625</v>
      </c>
    </row>
    <row r="92" spans="2:8" ht="12" customHeight="1">
      <c r="B92" s="143" t="s">
        <v>67</v>
      </c>
      <c r="C92" s="144"/>
      <c r="D92" s="145">
        <f>SUM(D90:D91)</f>
        <v>52.5</v>
      </c>
      <c r="E92" s="145">
        <f>SUM(E90:E91)</f>
        <v>52.5</v>
      </c>
      <c r="F92" s="145">
        <f>SUM(F90:F91)</f>
        <v>52.5</v>
      </c>
      <c r="G92" s="145">
        <f>SUM(G90:G91)</f>
        <v>52.5</v>
      </c>
      <c r="H92" s="146">
        <f>SUM(H90:H91)</f>
        <v>736.3125</v>
      </c>
    </row>
    <row r="93" spans="2:8" ht="12" customHeight="1">
      <c r="B93" s="83" t="s">
        <v>47</v>
      </c>
      <c r="C93" s="136"/>
      <c r="D93" s="137">
        <f>D30</f>
        <v>120</v>
      </c>
      <c r="E93" s="137">
        <f>E30</f>
        <v>120</v>
      </c>
      <c r="F93" s="137">
        <f>F30</f>
        <v>120</v>
      </c>
      <c r="G93" s="137">
        <f>G30</f>
        <v>90</v>
      </c>
      <c r="H93" s="137">
        <f>H30</f>
        <v>91.79999999999995</v>
      </c>
    </row>
    <row r="94" spans="2:8" ht="12" customHeight="1">
      <c r="B94" s="84" t="s">
        <v>70</v>
      </c>
      <c r="C94" s="139"/>
      <c r="D94" s="140"/>
      <c r="E94" s="140"/>
      <c r="F94" s="140"/>
      <c r="G94" s="141"/>
      <c r="H94" s="142">
        <f>H93*(1+$K$3)/(K4-$K$3)</f>
        <v>1560.5999999999992</v>
      </c>
    </row>
    <row r="95" spans="2:8" ht="12" customHeight="1" thickBot="1">
      <c r="B95" s="84" t="s">
        <v>67</v>
      </c>
      <c r="C95" s="139"/>
      <c r="D95" s="140">
        <f>SUM(D93:D94)</f>
        <v>120</v>
      </c>
      <c r="E95" s="140">
        <f>SUM(E93:E94)</f>
        <v>120</v>
      </c>
      <c r="F95" s="140">
        <f>SUM(F93:F94)</f>
        <v>120</v>
      </c>
      <c r="G95" s="140">
        <f>SUM(G93:G94)</f>
        <v>90</v>
      </c>
      <c r="H95" s="147">
        <f>SUM(H93:H94)</f>
        <v>1652.3999999999992</v>
      </c>
    </row>
    <row r="96" spans="2:8" ht="12" customHeight="1">
      <c r="B96" s="94" t="s">
        <v>3</v>
      </c>
      <c r="C96" s="148"/>
      <c r="D96" s="149">
        <f>D28</f>
        <v>165</v>
      </c>
      <c r="E96" s="149">
        <f>E28</f>
        <v>29</v>
      </c>
      <c r="F96" s="149">
        <f>F28</f>
        <v>338</v>
      </c>
      <c r="G96" s="149">
        <f>G28</f>
        <v>400.65</v>
      </c>
      <c r="H96" s="150">
        <f>H28</f>
        <v>408.663</v>
      </c>
    </row>
    <row r="97" spans="2:8" ht="12" customHeight="1">
      <c r="B97" s="95" t="s">
        <v>71</v>
      </c>
      <c r="C97" s="139"/>
      <c r="D97" s="140"/>
      <c r="E97" s="140"/>
      <c r="F97" s="140"/>
      <c r="G97" s="141"/>
      <c r="H97" s="151">
        <f>H96*(1+$K$3)/(H57-$K$3)</f>
        <v>4956.855750000001</v>
      </c>
    </row>
    <row r="98" spans="2:8" ht="12" customHeight="1">
      <c r="B98" s="152" t="s">
        <v>67</v>
      </c>
      <c r="C98" s="144"/>
      <c r="D98" s="145">
        <f>SUM(D96:D97)</f>
        <v>165</v>
      </c>
      <c r="E98" s="145">
        <f>SUM(E96:E97)</f>
        <v>29</v>
      </c>
      <c r="F98" s="145">
        <f>SUM(F96:F97)</f>
        <v>338</v>
      </c>
      <c r="G98" s="145">
        <f>SUM(G96:G97)</f>
        <v>400.65</v>
      </c>
      <c r="H98" s="153">
        <f>SUM(H96:H97)</f>
        <v>5365.518750000001</v>
      </c>
    </row>
    <row r="99" spans="2:8" s="78" customFormat="1" ht="12" customHeight="1">
      <c r="B99" s="96" t="s">
        <v>72</v>
      </c>
      <c r="C99" s="127"/>
      <c r="D99" s="128">
        <f>(1+C57)</f>
        <v>1.104925532036027</v>
      </c>
      <c r="E99" s="128">
        <f>(1+D57)*D99</f>
        <v>1.2205366900662193</v>
      </c>
      <c r="F99" s="128">
        <f>(1+E57)*E99</f>
        <v>1.3477410881389547</v>
      </c>
      <c r="G99" s="128">
        <f>(1+F57)*F99</f>
        <v>1.488031335212057</v>
      </c>
      <c r="H99" s="129">
        <f>(1+G57)*G99</f>
        <v>1.6429247976928083</v>
      </c>
    </row>
    <row r="100" spans="2:8" s="78" customFormat="1" ht="12" customHeight="1" thickBot="1">
      <c r="B100" s="97" t="s">
        <v>73</v>
      </c>
      <c r="C100" s="130"/>
      <c r="D100" s="130">
        <f>D98/D99</f>
        <v>149.33133067887152</v>
      </c>
      <c r="E100" s="130">
        <f>E98/E99</f>
        <v>23.76003952689585</v>
      </c>
      <c r="F100" s="130">
        <f>F98/F99</f>
        <v>250.79000927895697</v>
      </c>
      <c r="G100" s="130">
        <f>G98/G99</f>
        <v>269.2483622617423</v>
      </c>
      <c r="H100" s="131">
        <f>H98/H99</f>
        <v>3265.83344382829</v>
      </c>
    </row>
    <row r="101" spans="2:8" ht="12" customHeight="1">
      <c r="B101" s="94" t="s">
        <v>2</v>
      </c>
      <c r="C101" s="148"/>
      <c r="D101" s="149">
        <f>D29</f>
        <v>243</v>
      </c>
      <c r="E101" s="149">
        <f>E29</f>
        <v>107</v>
      </c>
      <c r="F101" s="149">
        <f>F29</f>
        <v>416</v>
      </c>
      <c r="G101" s="149">
        <f>G29</f>
        <v>448.65</v>
      </c>
      <c r="H101" s="150">
        <f>H29</f>
        <v>457.6229999999999</v>
      </c>
    </row>
    <row r="102" spans="2:8" ht="12" customHeight="1">
      <c r="B102" s="95" t="s">
        <v>71</v>
      </c>
      <c r="C102" s="139"/>
      <c r="D102" s="140"/>
      <c r="E102" s="140"/>
      <c r="F102" s="140"/>
      <c r="G102" s="141"/>
      <c r="H102" s="151">
        <f>H101*(1+$K$3)/(H61-$K$3)</f>
        <v>6517.455749999997</v>
      </c>
    </row>
    <row r="103" spans="2:8" ht="12" customHeight="1">
      <c r="B103" s="152" t="s">
        <v>67</v>
      </c>
      <c r="C103" s="144"/>
      <c r="D103" s="145">
        <f>SUM(D101:D102)</f>
        <v>243</v>
      </c>
      <c r="E103" s="145">
        <f>SUM(E101:E102)</f>
        <v>107</v>
      </c>
      <c r="F103" s="145">
        <f>SUM(F101:F102)</f>
        <v>416</v>
      </c>
      <c r="G103" s="145">
        <f>SUM(G101:G102)</f>
        <v>448.65</v>
      </c>
      <c r="H103" s="153">
        <f>SUM(H101:H102)</f>
        <v>6975.078749999997</v>
      </c>
    </row>
    <row r="104" spans="2:8" s="78" customFormat="1" ht="12" customHeight="1">
      <c r="B104" s="96" t="s">
        <v>74</v>
      </c>
      <c r="C104" s="127"/>
      <c r="D104" s="128">
        <f>(1+C61)</f>
        <v>1.090382789145981</v>
      </c>
      <c r="E104" s="128">
        <f>(1+D61)*D104</f>
        <v>1.1893945324415254</v>
      </c>
      <c r="F104" s="128">
        <f>(1+E61)*E104</f>
        <v>1.2981321723075152</v>
      </c>
      <c r="G104" s="128">
        <f>(1+F61)*F104</f>
        <v>1.4170661016530197</v>
      </c>
      <c r="H104" s="129">
        <f>(1+G61)*G104</f>
        <v>1.546896671457267</v>
      </c>
    </row>
    <row r="105" spans="2:8" s="78" customFormat="1" ht="12" customHeight="1" thickBot="1">
      <c r="B105" s="97" t="s">
        <v>75</v>
      </c>
      <c r="C105" s="130"/>
      <c r="D105" s="130">
        <f>D103/D104</f>
        <v>222.8575161116809</v>
      </c>
      <c r="E105" s="130">
        <f>E103/E104</f>
        <v>89.96173858337497</v>
      </c>
      <c r="F105" s="130">
        <f>F103/F104</f>
        <v>320.4604345184148</v>
      </c>
      <c r="G105" s="130">
        <f>G103/G104</f>
        <v>316.6048496090944</v>
      </c>
      <c r="H105" s="131">
        <f>H103/H104</f>
        <v>4509.0786467521875</v>
      </c>
    </row>
    <row r="106" spans="2:8" ht="12" customHeight="1">
      <c r="B106" s="154"/>
      <c r="C106" s="154"/>
      <c r="D106" s="154"/>
      <c r="E106" s="154"/>
      <c r="F106" s="154"/>
      <c r="G106" s="154"/>
      <c r="H106" s="154"/>
    </row>
    <row r="107" spans="2:8" ht="12" customHeight="1">
      <c r="B107" s="132" t="s">
        <v>83</v>
      </c>
      <c r="C107" s="133"/>
      <c r="D107" s="134"/>
      <c r="E107" s="134"/>
      <c r="F107" s="134"/>
      <c r="G107" s="135"/>
      <c r="H107" s="135"/>
    </row>
    <row r="108" spans="2:8" ht="12" customHeight="1">
      <c r="B108" s="83" t="s">
        <v>78</v>
      </c>
      <c r="C108" s="136"/>
      <c r="D108" s="137">
        <f>C59*$K$7*$K$4</f>
        <v>41.99999999999997</v>
      </c>
      <c r="E108" s="137">
        <f>D59*$K$7*$K$4</f>
        <v>41.99999999999997</v>
      </c>
      <c r="F108" s="137">
        <f>E59*$K$7*$K$4</f>
        <v>41.99999999999997</v>
      </c>
      <c r="G108" s="137">
        <f>F59*$K$7*$K$4</f>
        <v>41.99999999999997</v>
      </c>
      <c r="H108" s="137">
        <f>G59*$K$7*$K$4</f>
        <v>42.839999999999975</v>
      </c>
    </row>
    <row r="109" spans="2:8" ht="12" customHeight="1">
      <c r="B109" s="84" t="s">
        <v>79</v>
      </c>
      <c r="C109" s="139"/>
      <c r="D109" s="140"/>
      <c r="E109" s="140"/>
      <c r="F109" s="140"/>
      <c r="G109" s="141"/>
      <c r="H109" s="142">
        <f>H108*(1+$K$3)/(K6-$K$3)</f>
        <v>546.2099999999997</v>
      </c>
    </row>
    <row r="110" spans="2:8" ht="12" customHeight="1">
      <c r="B110" s="143" t="s">
        <v>67</v>
      </c>
      <c r="C110" s="144"/>
      <c r="D110" s="145">
        <f>SUM(D108:D109)</f>
        <v>41.99999999999997</v>
      </c>
      <c r="E110" s="145">
        <f>SUM(E108:E109)</f>
        <v>41.99999999999997</v>
      </c>
      <c r="F110" s="145">
        <f>SUM(F108:F109)</f>
        <v>41.99999999999997</v>
      </c>
      <c r="G110" s="145">
        <f>SUM(G108:G109)</f>
        <v>41.99999999999997</v>
      </c>
      <c r="H110" s="146">
        <f>SUM(H108:H109)</f>
        <v>589.0499999999997</v>
      </c>
    </row>
    <row r="111" spans="2:8" ht="12" customHeight="1">
      <c r="B111" s="154"/>
      <c r="C111" s="154"/>
      <c r="D111" s="154"/>
      <c r="E111" s="154"/>
      <c r="F111" s="154"/>
      <c r="G111" s="154"/>
      <c r="H111" s="154"/>
    </row>
    <row r="112" spans="2:8" ht="12" customHeight="1">
      <c r="B112" s="132" t="s">
        <v>82</v>
      </c>
      <c r="C112" s="133"/>
      <c r="D112" s="134"/>
      <c r="E112" s="134"/>
      <c r="F112" s="134"/>
      <c r="G112" s="135"/>
      <c r="H112" s="135"/>
    </row>
    <row r="113" spans="2:8" ht="12" customHeight="1">
      <c r="B113" s="83" t="s">
        <v>78</v>
      </c>
      <c r="C113" s="136"/>
      <c r="D113" s="137">
        <f>D108</f>
        <v>41.99999999999997</v>
      </c>
      <c r="E113" s="137">
        <f>E108</f>
        <v>41.99999999999997</v>
      </c>
      <c r="F113" s="137">
        <f>F108</f>
        <v>41.99999999999997</v>
      </c>
      <c r="G113" s="137">
        <f>G108</f>
        <v>41.99999999999997</v>
      </c>
      <c r="H113" s="137">
        <f>H108</f>
        <v>42.839999999999975</v>
      </c>
    </row>
    <row r="114" spans="2:8" ht="12" customHeight="1">
      <c r="B114" s="84" t="s">
        <v>79</v>
      </c>
      <c r="C114" s="139"/>
      <c r="D114" s="140"/>
      <c r="E114" s="140"/>
      <c r="F114" s="140"/>
      <c r="G114" s="141"/>
      <c r="H114" s="142">
        <f>H113*(1+$K$3)/(K4-$K$3)</f>
        <v>728.2799999999996</v>
      </c>
    </row>
    <row r="115" spans="2:8" ht="12" customHeight="1">
      <c r="B115" s="143" t="s">
        <v>67</v>
      </c>
      <c r="C115" s="144"/>
      <c r="D115" s="145">
        <f>SUM(D113:D114)</f>
        <v>41.99999999999997</v>
      </c>
      <c r="E115" s="145">
        <f>SUM(E113:E114)</f>
        <v>41.99999999999997</v>
      </c>
      <c r="F115" s="145">
        <f>SUM(F113:F114)</f>
        <v>41.99999999999997</v>
      </c>
      <c r="G115" s="145">
        <f>SUM(G113:G114)</f>
        <v>41.99999999999997</v>
      </c>
      <c r="H115" s="146">
        <f>SUM(H113:H114)</f>
        <v>771.1199999999997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2013-10-08T10:28:32Z</dcterms:created>
  <dcterms:modified xsi:type="dcterms:W3CDTF">2019-05-24T19:00:41Z</dcterms:modified>
  <cp:category/>
  <cp:version/>
  <cp:contentType/>
  <cp:contentStatus/>
</cp:coreProperties>
</file>